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15" windowHeight="3450" activeTab="0"/>
  </bookViews>
  <sheets>
    <sheet name="Planner" sheetId="1" r:id="rId1"/>
    <sheet name="Estimates" sheetId="2" r:id="rId2"/>
    <sheet name="Summary Costs" sheetId="3" r:id="rId3"/>
    <sheet name="Demand" sheetId="4" r:id="rId4"/>
    <sheet name="Supply" sheetId="5" r:id="rId5"/>
    <sheet name="Communications" sheetId="6" r:id="rId6"/>
    <sheet name="Administration" sheetId="7" r:id="rId7"/>
    <sheet name="Figures" sheetId="8" state="hidden" r:id="rId8"/>
    <sheet name="Countries" sheetId="9" r:id="rId9"/>
  </sheets>
  <definedNames/>
  <calcPr fullCalcOnLoad="1"/>
</workbook>
</file>

<file path=xl/sharedStrings.xml><?xml version="1.0" encoding="utf-8"?>
<sst xmlns="http://schemas.openxmlformats.org/spreadsheetml/2006/main" count="236" uniqueCount="184">
  <si>
    <t>Summary Planner: Global TB Drug Facility 2002-2005</t>
  </si>
  <si>
    <t>No.</t>
  </si>
  <si>
    <t>Activity</t>
  </si>
  <si>
    <t>Q1</t>
  </si>
  <si>
    <t>Q2</t>
  </si>
  <si>
    <t>Q3</t>
  </si>
  <si>
    <t>Q4</t>
  </si>
  <si>
    <t>Insurance</t>
  </si>
  <si>
    <t>Handling</t>
  </si>
  <si>
    <t>Freight</t>
  </si>
  <si>
    <t>Preshipment Inspection</t>
  </si>
  <si>
    <t>Laboratory analysis</t>
  </si>
  <si>
    <t>Cost Area</t>
  </si>
  <si>
    <t>Advocacy and Resource Mobilization</t>
  </si>
  <si>
    <t>Total</t>
  </si>
  <si>
    <t>New patients</t>
  </si>
  <si>
    <t>Retreatment patients</t>
  </si>
  <si>
    <t xml:space="preserve">Total </t>
  </si>
  <si>
    <t>First line TB Drugs</t>
  </si>
  <si>
    <t>Second line TB drugs</t>
  </si>
  <si>
    <t>Diagnostics</t>
  </si>
  <si>
    <t>Cat 1 Regimen</t>
  </si>
  <si>
    <t>Cat 2 Regimen</t>
  </si>
  <si>
    <t>DOTS Plus Regimen</t>
  </si>
  <si>
    <t>Administrative</t>
  </si>
  <si>
    <t>Unit cost</t>
  </si>
  <si>
    <t>Slides,sputum containers and reagents</t>
  </si>
  <si>
    <t>Applications,review and monitoring</t>
  </si>
  <si>
    <t>Prequalification of manufacturers</t>
  </si>
  <si>
    <t>Estimated DOTS Coverage</t>
  </si>
  <si>
    <t>Administration</t>
  </si>
  <si>
    <t>Staff travel</t>
  </si>
  <si>
    <t>Staff salaries and allowances</t>
  </si>
  <si>
    <t>Assumptions</t>
  </si>
  <si>
    <t>1. Staff</t>
  </si>
  <si>
    <t>Microscopes and equipment</t>
  </si>
  <si>
    <t>Costs per patient</t>
  </si>
  <si>
    <t>Cost per diagnostic centre</t>
  </si>
  <si>
    <t>1. Commodity costs</t>
  </si>
  <si>
    <t>Shipping and quality control</t>
  </si>
  <si>
    <t>Document review</t>
  </si>
  <si>
    <t>GMP audit</t>
  </si>
  <si>
    <t>Website</t>
  </si>
  <si>
    <t>Applications</t>
  </si>
  <si>
    <t>Technical Review</t>
  </si>
  <si>
    <t>Monitoring</t>
  </si>
  <si>
    <t>Drugs</t>
  </si>
  <si>
    <t>Procurement, supply and quality control</t>
  </si>
  <si>
    <t>Branding and marketing</t>
  </si>
  <si>
    <t>Travel time as proportion of work</t>
  </si>
  <si>
    <t>Office equipment</t>
  </si>
  <si>
    <t>2. Staff travel</t>
  </si>
  <si>
    <t>Sub Total</t>
  </si>
  <si>
    <t>2. Supply costs (average)</t>
  </si>
  <si>
    <t>Technical support</t>
  </si>
  <si>
    <t>Days of work per year per TRC member</t>
  </si>
  <si>
    <t>%</t>
  </si>
  <si>
    <t>Estimated incidence of TB</t>
  </si>
  <si>
    <t>5. Proportion of retreatment patients</t>
  </si>
  <si>
    <t xml:space="preserve">6. Proportion of patients with MDR </t>
  </si>
  <si>
    <t>1. Technical review</t>
  </si>
  <si>
    <t>Cost per day (including travel/per diem)</t>
  </si>
  <si>
    <t>External evaluation</t>
  </si>
  <si>
    <t>Cost per document review</t>
  </si>
  <si>
    <t>Estimated document reviews per year</t>
  </si>
  <si>
    <t>Cost per GMP audit</t>
  </si>
  <si>
    <t>Estimated GMP audits per year</t>
  </si>
  <si>
    <t>3. Prequalification and requalification</t>
  </si>
  <si>
    <t>Prequalification and requalification</t>
  </si>
  <si>
    <t>Market survey</t>
  </si>
  <si>
    <t>Senior Technical</t>
  </si>
  <si>
    <t>Junior Technical</t>
  </si>
  <si>
    <t>Technical review committee (TRC) members</t>
  </si>
  <si>
    <t>Newsletter</t>
  </si>
  <si>
    <t>Technical documents</t>
  </si>
  <si>
    <t>Reports</t>
  </si>
  <si>
    <t>No per year</t>
  </si>
  <si>
    <t>Other materials (CDs/videos etc)</t>
  </si>
  <si>
    <t>Quantity</t>
  </si>
  <si>
    <t>1. Publications</t>
  </si>
  <si>
    <t>Internal monitoring/information management</t>
  </si>
  <si>
    <t>Average cost per day (per diem and airfare)</t>
  </si>
  <si>
    <t>Slides &amp; reagents etc</t>
  </si>
  <si>
    <t>Resource mobilization</t>
  </si>
  <si>
    <t>Unit cost*</t>
  </si>
  <si>
    <t>2. Technical support</t>
  </si>
  <si>
    <t>Countries per year</t>
  </si>
  <si>
    <t>Cost per mission</t>
  </si>
  <si>
    <t>Staff training</t>
  </si>
  <si>
    <t>*Unit cost includes preparation, translation, publication and distribution</t>
  </si>
  <si>
    <t>Media and events</t>
  </si>
  <si>
    <t>Office costs (tel, email, fax, utilities etc)</t>
  </si>
  <si>
    <t>3. Office costs as proportion of admin costs</t>
  </si>
  <si>
    <t>MDR patients</t>
  </si>
  <si>
    <t>Cost of laboratory analyses per audit</t>
  </si>
  <si>
    <t>Publications &amp; materials</t>
  </si>
  <si>
    <t>1. Estimated new cases from WHO (unpublished). Estimates of retreatment and MDR cases are unofficial</t>
  </si>
  <si>
    <t>2. Estimated DOTS coverage based on Global Plan to Stop TB</t>
  </si>
  <si>
    <t>3. Estimated DOTS coverage 2000</t>
  </si>
  <si>
    <t>4. Current annual DOTS expansion</t>
  </si>
  <si>
    <t>Proportion treated with GDF grants</t>
  </si>
  <si>
    <t>Proportion treated with GDF direct procurement</t>
  </si>
  <si>
    <t>Patients treated with GDF grants</t>
  </si>
  <si>
    <t>Patients treated with GDF direct procurement</t>
  </si>
  <si>
    <t>Value of direct procurement</t>
  </si>
  <si>
    <t>Country</t>
  </si>
  <si>
    <t>Estimated TB cases (all forms) 2000</t>
  </si>
  <si>
    <t>Reported TB cases (all forms) DOTS 2000</t>
  </si>
  <si>
    <t>Reported TB cases (non DOTS) all forms, 2000</t>
  </si>
  <si>
    <t>Unreported TB cases (all forms) 2000</t>
  </si>
  <si>
    <t>China</t>
  </si>
  <si>
    <t>India</t>
  </si>
  <si>
    <t>Indonesia</t>
  </si>
  <si>
    <t>Nigeria</t>
  </si>
  <si>
    <t>Bangladesh</t>
  </si>
  <si>
    <t>Pakistan</t>
  </si>
  <si>
    <t>Ethiopia</t>
  </si>
  <si>
    <t>Philippines</t>
  </si>
  <si>
    <t>Democratic Republic of the Congo</t>
  </si>
  <si>
    <t>Kenya</t>
  </si>
  <si>
    <t>United Republic of Tanzania</t>
  </si>
  <si>
    <t>Afghanistan</t>
  </si>
  <si>
    <t>Viet Nam</t>
  </si>
  <si>
    <t>Mozambique</t>
  </si>
  <si>
    <t>Cambodia</t>
  </si>
  <si>
    <t>Uganda</t>
  </si>
  <si>
    <t>Russian Federation</t>
  </si>
  <si>
    <t>Côte d'Ivoire</t>
  </si>
  <si>
    <t>Myanmar</t>
  </si>
  <si>
    <t>Cameroon</t>
  </si>
  <si>
    <t>Ghana</t>
  </si>
  <si>
    <t>Madagascar</t>
  </si>
  <si>
    <t>Sudan</t>
  </si>
  <si>
    <t>Burkina Faso</t>
  </si>
  <si>
    <t>Malawi</t>
  </si>
  <si>
    <t>Mali</t>
  </si>
  <si>
    <t>Somalia</t>
  </si>
  <si>
    <t>Burundi</t>
  </si>
  <si>
    <t>Rwanda</t>
  </si>
  <si>
    <t>Iran (Islamic Republic of)</t>
  </si>
  <si>
    <t>Senegal</t>
  </si>
  <si>
    <t>Niger</t>
  </si>
  <si>
    <t>Zimbabwe</t>
  </si>
  <si>
    <t>Guinea</t>
  </si>
  <si>
    <t>Chad</t>
  </si>
  <si>
    <t>Iraq</t>
  </si>
  <si>
    <t>Angola</t>
  </si>
  <si>
    <t>Global Total</t>
  </si>
  <si>
    <t>Oversight</t>
  </si>
  <si>
    <t>Applications, Review and Monitoring</t>
  </si>
  <si>
    <t>Procurement and Supply</t>
  </si>
  <si>
    <t>Management</t>
  </si>
  <si>
    <t>Meetings of Stop TB CB Working Committee</t>
  </si>
  <si>
    <t>Applications accepted from countries</t>
  </si>
  <si>
    <t>Applications accepted from NGOs</t>
  </si>
  <si>
    <t>Applications accepted from regions of countries</t>
  </si>
  <si>
    <t>Monitoring visits to countries approved in 2001</t>
  </si>
  <si>
    <t>Establish expanded Technical Review Committee</t>
  </si>
  <si>
    <t>Meeting of full TRC</t>
  </si>
  <si>
    <t>Meetings of TRC regional subgroups</t>
  </si>
  <si>
    <t>Meetings of Stop TB Coordinating Board</t>
  </si>
  <si>
    <t>GDF annual plan and budget</t>
  </si>
  <si>
    <t>GDF 6-monthly reports and statements</t>
  </si>
  <si>
    <t>GDF website</t>
  </si>
  <si>
    <t>Establish integrated applications, review and monitoring process</t>
  </si>
  <si>
    <t>Document review for prequalification of products and manufacturers</t>
  </si>
  <si>
    <t>GMP audits of potential suppliers</t>
  </si>
  <si>
    <t>Publication of white list of manufacturers</t>
  </si>
  <si>
    <t>Requalification of products and manufacturers</t>
  </si>
  <si>
    <t>Market survey of TB drugs</t>
  </si>
  <si>
    <t>Specifications of diagnostics</t>
  </si>
  <si>
    <t>Prequalification of suppliers of diagnostics equipment and consumables</t>
  </si>
  <si>
    <t>Procurement, quality control and supply of first line TB drugs</t>
  </si>
  <si>
    <t>Procurement, quality control and supply of second line TB drugs</t>
  </si>
  <si>
    <t>Tender for suppliers of first line TB drugs</t>
  </si>
  <si>
    <t>Procurement, quality control and supply of diagnostics</t>
  </si>
  <si>
    <t>Direct procurement mechanism for GDF products</t>
  </si>
  <si>
    <t xml:space="preserve">Develop standardised tools and guidelines for monitoring </t>
  </si>
  <si>
    <t>Request for Proposals for GDF procurement agents</t>
  </si>
  <si>
    <t>Development of marketing strategy for GDF</t>
  </si>
  <si>
    <t>Development of GDF advocacy tools</t>
  </si>
  <si>
    <t>Publication of GDF newsletter</t>
  </si>
  <si>
    <t>Development of internal monitoring system</t>
  </si>
  <si>
    <t>Development of GDF financing mechanism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</si>
</sst>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0.000"/>
    <numFmt numFmtId="168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8"/>
      <name val="MS Sans Serif"/>
      <family val="0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165" fontId="0" fillId="0" borderId="0" xfId="15" applyNumberFormat="1" applyAlignment="1">
      <alignment/>
    </xf>
    <xf numFmtId="9" fontId="0" fillId="0" borderId="0" xfId="20" applyAlignment="1">
      <alignment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5" fontId="0" fillId="0" borderId="0" xfId="15" applyNumberFormat="1" applyAlignment="1">
      <alignment vertical="top" wrapText="1"/>
    </xf>
    <xf numFmtId="0" fontId="0" fillId="0" borderId="0" xfId="0" applyAlignment="1">
      <alignment vertical="top" wrapText="1"/>
    </xf>
    <xf numFmtId="9" fontId="0" fillId="0" borderId="0" xfId="0" applyNumberFormat="1" applyAlignment="1">
      <alignment vertical="top" wrapText="1"/>
    </xf>
    <xf numFmtId="0" fontId="0" fillId="0" borderId="0" xfId="0" applyAlignment="1">
      <alignment/>
    </xf>
    <xf numFmtId="165" fontId="0" fillId="0" borderId="0" xfId="15" applyNumberFormat="1" applyAlignment="1">
      <alignment vertical="top"/>
    </xf>
    <xf numFmtId="165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" fillId="2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165" fontId="1" fillId="4" borderId="0" xfId="15" applyNumberFormat="1" applyFont="1" applyFill="1" applyAlignment="1">
      <alignment vertical="top" wrapText="1"/>
    </xf>
    <xf numFmtId="0" fontId="1" fillId="4" borderId="0" xfId="0" applyFont="1" applyFill="1" applyAlignment="1">
      <alignment horizontal="right"/>
    </xf>
    <xf numFmtId="165" fontId="1" fillId="4" borderId="0" xfId="15" applyNumberFormat="1" applyFont="1" applyFill="1" applyAlignment="1">
      <alignment/>
    </xf>
    <xf numFmtId="0" fontId="0" fillId="5" borderId="0" xfId="0" applyFill="1" applyAlignment="1">
      <alignment/>
    </xf>
    <xf numFmtId="9" fontId="2" fillId="4" borderId="0" xfId="20" applyFont="1" applyFill="1" applyAlignment="1">
      <alignment vertical="top" wrapText="1"/>
    </xf>
    <xf numFmtId="165" fontId="1" fillId="4" borderId="0" xfId="15" applyNumberFormat="1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4" fillId="0" borderId="0" xfId="0" applyFont="1" applyAlignment="1">
      <alignment vertical="top" wrapText="1"/>
    </xf>
    <xf numFmtId="165" fontId="4" fillId="0" borderId="0" xfId="15" applyNumberFormat="1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9" fontId="5" fillId="0" borderId="0" xfId="20" applyFont="1" applyAlignment="1">
      <alignment vertical="top" wrapText="1"/>
    </xf>
    <xf numFmtId="0" fontId="0" fillId="0" borderId="0" xfId="0" applyAlignment="1">
      <alignment horizontal="left"/>
    </xf>
    <xf numFmtId="165" fontId="0" fillId="0" borderId="0" xfId="15" applyNumberFormat="1" applyAlignment="1">
      <alignment horizontal="center" vertical="top" wrapText="1"/>
    </xf>
    <xf numFmtId="165" fontId="0" fillId="0" borderId="0" xfId="15" applyNumberFormat="1" applyFont="1" applyAlignment="1">
      <alignment horizontal="center" vertical="top" wrapText="1"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/>
    </xf>
    <xf numFmtId="9" fontId="0" fillId="0" borderId="0" xfId="20" applyAlignment="1">
      <alignment/>
    </xf>
    <xf numFmtId="10" fontId="0" fillId="0" borderId="0" xfId="20" applyNumberFormat="1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1">
    <dxf>
      <font>
        <color rgb="FF00FF0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workbookViewId="0" topLeftCell="A1">
      <pane ySplit="3" topLeftCell="BM4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28125" style="0" customWidth="1"/>
    <col min="2" max="2" width="61.140625" style="0" customWidth="1"/>
    <col min="3" max="18" width="5.00390625" style="0" customWidth="1"/>
  </cols>
  <sheetData>
    <row r="1" spans="1:2" ht="12.75">
      <c r="A1" s="41" t="s">
        <v>0</v>
      </c>
      <c r="B1" s="34"/>
    </row>
    <row r="2" spans="1:18" ht="12.75">
      <c r="A2" s="16"/>
      <c r="B2" s="16"/>
      <c r="C2" s="42">
        <v>2002</v>
      </c>
      <c r="D2" s="42"/>
      <c r="E2" s="42"/>
      <c r="F2" s="42"/>
      <c r="G2" s="42">
        <v>2003</v>
      </c>
      <c r="H2" s="42"/>
      <c r="I2" s="42"/>
      <c r="J2" s="42"/>
      <c r="K2" s="42">
        <v>2004</v>
      </c>
      <c r="L2" s="42"/>
      <c r="M2" s="42"/>
      <c r="N2" s="42"/>
      <c r="O2" s="42">
        <v>2005</v>
      </c>
      <c r="P2" s="42"/>
      <c r="Q2" s="42"/>
      <c r="R2" s="42"/>
    </row>
    <row r="3" spans="1:18" s="1" customFormat="1" ht="12.75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3</v>
      </c>
      <c r="H3" s="16" t="s">
        <v>4</v>
      </c>
      <c r="I3" s="16" t="s">
        <v>5</v>
      </c>
      <c r="J3" s="16" t="s">
        <v>6</v>
      </c>
      <c r="K3" s="16" t="s">
        <v>3</v>
      </c>
      <c r="L3" s="16" t="s">
        <v>4</v>
      </c>
      <c r="M3" s="16" t="s">
        <v>5</v>
      </c>
      <c r="N3" s="16" t="s">
        <v>6</v>
      </c>
      <c r="O3" s="16" t="s">
        <v>3</v>
      </c>
      <c r="P3" s="16" t="s">
        <v>4</v>
      </c>
      <c r="Q3" s="16" t="s">
        <v>5</v>
      </c>
      <c r="R3" s="16" t="s">
        <v>6</v>
      </c>
    </row>
    <row r="4" ht="12.75">
      <c r="A4" s="41" t="s">
        <v>148</v>
      </c>
    </row>
    <row r="5" spans="1:18" ht="12.75">
      <c r="A5">
        <v>1</v>
      </c>
      <c r="B5" t="s">
        <v>152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</row>
    <row r="6" spans="1:17" ht="12.75">
      <c r="A6">
        <f>A5+1</f>
        <v>2</v>
      </c>
      <c r="B6" t="s">
        <v>160</v>
      </c>
      <c r="C6">
        <v>1</v>
      </c>
      <c r="E6">
        <v>1</v>
      </c>
      <c r="G6">
        <v>1</v>
      </c>
      <c r="I6">
        <v>1</v>
      </c>
      <c r="K6">
        <v>1</v>
      </c>
      <c r="M6">
        <v>1</v>
      </c>
      <c r="O6">
        <v>1</v>
      </c>
      <c r="Q6">
        <v>1</v>
      </c>
    </row>
    <row r="8" ht="12.75">
      <c r="A8" s="41" t="s">
        <v>149</v>
      </c>
    </row>
    <row r="9" spans="1:18" ht="12.75">
      <c r="A9">
        <v>1</v>
      </c>
      <c r="B9" t="s">
        <v>153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</row>
    <row r="10" spans="1:18" ht="12.75">
      <c r="A10">
        <f aca="true" t="shared" si="0" ref="A10:A46">A9+1</f>
        <v>2</v>
      </c>
      <c r="B10" t="s">
        <v>154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</row>
    <row r="11" spans="1:18" ht="12.75">
      <c r="A11">
        <f t="shared" si="0"/>
        <v>3</v>
      </c>
      <c r="B11" t="s">
        <v>155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</row>
    <row r="12" spans="1:4" ht="12.75">
      <c r="A12">
        <f t="shared" si="0"/>
        <v>4</v>
      </c>
      <c r="B12" t="s">
        <v>157</v>
      </c>
      <c r="D12">
        <v>1</v>
      </c>
    </row>
    <row r="13" spans="1:16" ht="12.75">
      <c r="A13">
        <f t="shared" si="0"/>
        <v>5</v>
      </c>
      <c r="B13" t="s">
        <v>158</v>
      </c>
      <c r="D13">
        <v>1</v>
      </c>
      <c r="H13">
        <v>1</v>
      </c>
      <c r="L13">
        <v>1</v>
      </c>
      <c r="P13">
        <v>1</v>
      </c>
    </row>
    <row r="14" spans="1:18" ht="12.75">
      <c r="A14">
        <f t="shared" si="0"/>
        <v>6</v>
      </c>
      <c r="B14" t="s">
        <v>159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</row>
    <row r="15" spans="1:5" ht="12.75">
      <c r="A15">
        <f t="shared" si="0"/>
        <v>7</v>
      </c>
      <c r="B15" t="s">
        <v>177</v>
      </c>
      <c r="D15">
        <v>1</v>
      </c>
      <c r="E15">
        <v>1</v>
      </c>
    </row>
    <row r="16" spans="1:18" ht="12.75">
      <c r="A16">
        <f t="shared" si="0"/>
        <v>8</v>
      </c>
      <c r="B16" t="s">
        <v>156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</row>
    <row r="17" spans="1:18" ht="12.75">
      <c r="A17">
        <f t="shared" si="0"/>
        <v>9</v>
      </c>
      <c r="B17" t="s">
        <v>164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</row>
    <row r="19" ht="12.75">
      <c r="A19" s="41" t="s">
        <v>150</v>
      </c>
    </row>
    <row r="20" spans="1:15" ht="12.75">
      <c r="A20">
        <v>1</v>
      </c>
      <c r="B20" t="s">
        <v>165</v>
      </c>
      <c r="C20">
        <v>1</v>
      </c>
      <c r="G20">
        <v>1</v>
      </c>
      <c r="K20">
        <v>1</v>
      </c>
      <c r="O20">
        <v>1</v>
      </c>
    </row>
    <row r="21" spans="1:16" ht="12.75">
      <c r="A21">
        <f t="shared" si="0"/>
        <v>2</v>
      </c>
      <c r="B21" t="s">
        <v>166</v>
      </c>
      <c r="D21">
        <v>1</v>
      </c>
      <c r="H21">
        <v>1</v>
      </c>
      <c r="L21">
        <v>1</v>
      </c>
      <c r="P21">
        <v>1</v>
      </c>
    </row>
    <row r="22" spans="1:18" ht="12.75">
      <c r="A22">
        <f t="shared" si="0"/>
        <v>3</v>
      </c>
      <c r="B22" t="s">
        <v>167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</row>
    <row r="23" spans="1:16" ht="12.75">
      <c r="A23">
        <f t="shared" si="0"/>
        <v>4</v>
      </c>
      <c r="B23" t="s">
        <v>168</v>
      </c>
      <c r="K23">
        <v>1</v>
      </c>
      <c r="L23">
        <v>1</v>
      </c>
      <c r="O23">
        <v>1</v>
      </c>
      <c r="P23">
        <v>1</v>
      </c>
    </row>
    <row r="24" spans="1:16" ht="12.75">
      <c r="A24">
        <f t="shared" si="0"/>
        <v>5</v>
      </c>
      <c r="B24" t="s">
        <v>169</v>
      </c>
      <c r="D24">
        <v>1</v>
      </c>
      <c r="H24">
        <v>1</v>
      </c>
      <c r="L24">
        <v>1</v>
      </c>
      <c r="P24">
        <v>1</v>
      </c>
    </row>
    <row r="25" spans="1:12" ht="12.75">
      <c r="A25">
        <f t="shared" si="0"/>
        <v>6</v>
      </c>
      <c r="B25" t="s">
        <v>178</v>
      </c>
      <c r="D25">
        <v>1</v>
      </c>
      <c r="L25">
        <v>1</v>
      </c>
    </row>
    <row r="26" spans="1:13" ht="12.75">
      <c r="A26">
        <f t="shared" si="0"/>
        <v>7</v>
      </c>
      <c r="B26" t="s">
        <v>174</v>
      </c>
      <c r="E26">
        <v>1</v>
      </c>
      <c r="M26">
        <v>1</v>
      </c>
    </row>
    <row r="27" spans="1:18" ht="12.75">
      <c r="A27">
        <f t="shared" si="0"/>
        <v>8</v>
      </c>
      <c r="B27" t="s">
        <v>172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</row>
    <row r="28" spans="1:4" ht="12.75">
      <c r="A28">
        <f t="shared" si="0"/>
        <v>9</v>
      </c>
      <c r="B28" t="s">
        <v>170</v>
      </c>
      <c r="D28">
        <v>1</v>
      </c>
    </row>
    <row r="29" spans="1:5" ht="12.75">
      <c r="A29">
        <f t="shared" si="0"/>
        <v>10</v>
      </c>
      <c r="B29" t="s">
        <v>171</v>
      </c>
      <c r="E29">
        <v>1</v>
      </c>
    </row>
    <row r="30" spans="1:18" ht="12.75">
      <c r="A30">
        <f t="shared" si="0"/>
        <v>11</v>
      </c>
      <c r="B30" t="s">
        <v>175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</row>
    <row r="31" spans="1:18" ht="12.75">
      <c r="A31">
        <f t="shared" si="0"/>
        <v>12</v>
      </c>
      <c r="B31" t="s">
        <v>173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</row>
    <row r="32" spans="1:18" ht="12.75">
      <c r="A32">
        <f t="shared" si="0"/>
        <v>13</v>
      </c>
      <c r="B32" t="s">
        <v>176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</row>
    <row r="34" ht="12.75">
      <c r="A34" s="41" t="s">
        <v>13</v>
      </c>
    </row>
    <row r="35" spans="1:18" ht="12.75">
      <c r="A35">
        <v>1</v>
      </c>
      <c r="B35" t="s">
        <v>163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</row>
    <row r="36" spans="1:18" ht="12.75">
      <c r="A36">
        <f t="shared" si="0"/>
        <v>2</v>
      </c>
      <c r="B36" t="s">
        <v>181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</row>
    <row r="37" spans="1:18" ht="12.75">
      <c r="A37">
        <f t="shared" si="0"/>
        <v>3</v>
      </c>
      <c r="B37" t="s">
        <v>180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</row>
    <row r="38" spans="1:4" ht="12.75">
      <c r="A38">
        <f t="shared" si="0"/>
        <v>4</v>
      </c>
      <c r="B38" t="s">
        <v>179</v>
      </c>
      <c r="C38">
        <v>1</v>
      </c>
      <c r="D38">
        <v>1</v>
      </c>
    </row>
    <row r="39" spans="1:18" ht="12.75">
      <c r="A39">
        <f t="shared" si="0"/>
        <v>5</v>
      </c>
      <c r="B39" t="s">
        <v>83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</row>
    <row r="41" ht="12.75">
      <c r="A41" s="41" t="s">
        <v>151</v>
      </c>
    </row>
    <row r="42" spans="1:17" ht="12.75">
      <c r="A42">
        <v>1</v>
      </c>
      <c r="B42" t="s">
        <v>161</v>
      </c>
      <c r="E42">
        <v>1</v>
      </c>
      <c r="I42">
        <v>1</v>
      </c>
      <c r="M42">
        <v>1</v>
      </c>
      <c r="Q42">
        <v>1</v>
      </c>
    </row>
    <row r="43" spans="1:17" ht="12.75">
      <c r="A43">
        <f t="shared" si="0"/>
        <v>2</v>
      </c>
      <c r="B43" t="s">
        <v>162</v>
      </c>
      <c r="C43">
        <v>1</v>
      </c>
      <c r="E43">
        <v>1</v>
      </c>
      <c r="G43">
        <v>1</v>
      </c>
      <c r="I43">
        <v>1</v>
      </c>
      <c r="K43">
        <v>1</v>
      </c>
      <c r="M43">
        <v>1</v>
      </c>
      <c r="O43">
        <v>1</v>
      </c>
      <c r="Q43">
        <v>1</v>
      </c>
    </row>
    <row r="44" spans="1:6" ht="12.75">
      <c r="A44">
        <f t="shared" si="0"/>
        <v>3</v>
      </c>
      <c r="B44" t="s">
        <v>62</v>
      </c>
      <c r="F44">
        <v>1</v>
      </c>
    </row>
    <row r="45" spans="1:4" ht="12.75">
      <c r="A45">
        <f t="shared" si="0"/>
        <v>4</v>
      </c>
      <c r="B45" t="s">
        <v>182</v>
      </c>
      <c r="C45">
        <v>1</v>
      </c>
      <c r="D45">
        <v>1</v>
      </c>
    </row>
    <row r="46" spans="1:6" ht="12.75">
      <c r="A46">
        <f t="shared" si="0"/>
        <v>5</v>
      </c>
      <c r="B46" t="s">
        <v>183</v>
      </c>
      <c r="C46">
        <v>1</v>
      </c>
      <c r="D46">
        <v>1</v>
      </c>
      <c r="E46">
        <v>1</v>
      </c>
      <c r="F46">
        <v>1</v>
      </c>
    </row>
  </sheetData>
  <mergeCells count="4">
    <mergeCell ref="C2:F2"/>
    <mergeCell ref="G2:J2"/>
    <mergeCell ref="K2:N2"/>
    <mergeCell ref="O2:R2"/>
  </mergeCells>
  <conditionalFormatting sqref="A71:A65536 A34 A41 A19 A8 A1:A4 B1:IV65536">
    <cfRule type="cellIs" priority="1" dxfId="0" operator="equal" stopIfTrue="1">
      <formula>1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8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C13" sqref="C13"/>
    </sheetView>
  </sheetViews>
  <sheetFormatPr defaultColWidth="9.140625" defaultRowHeight="12.75"/>
  <cols>
    <col min="1" max="1" width="40.7109375" style="0" customWidth="1"/>
    <col min="2" max="2" width="12.8515625" style="0" customWidth="1"/>
    <col min="3" max="7" width="11.8515625" style="0" customWidth="1"/>
  </cols>
  <sheetData>
    <row r="1" spans="1:7" s="14" customFormat="1" ht="12.75">
      <c r="A1" s="16"/>
      <c r="B1" s="16">
        <v>2001</v>
      </c>
      <c r="C1" s="16">
        <v>2002</v>
      </c>
      <c r="D1" s="16">
        <v>2003</v>
      </c>
      <c r="E1" s="16">
        <v>2004</v>
      </c>
      <c r="F1" s="16">
        <v>2005</v>
      </c>
      <c r="G1" s="16" t="s">
        <v>14</v>
      </c>
    </row>
    <row r="2" ht="12.75">
      <c r="A2" s="22" t="s">
        <v>57</v>
      </c>
    </row>
    <row r="3" spans="1:7" ht="12.75">
      <c r="A3" s="25" t="s">
        <v>15</v>
      </c>
      <c r="B3" s="5">
        <v>9026115</v>
      </c>
      <c r="C3" s="3">
        <v>9342633</v>
      </c>
      <c r="D3" s="3">
        <v>9687563</v>
      </c>
      <c r="E3" s="3">
        <v>10064760</v>
      </c>
      <c r="F3" s="3">
        <v>10478659</v>
      </c>
      <c r="G3" s="3">
        <f>SUM(B3:F3)</f>
        <v>48599730</v>
      </c>
    </row>
    <row r="4" spans="1:7" ht="12.75">
      <c r="A4" s="25" t="s">
        <v>16</v>
      </c>
      <c r="B4" s="3">
        <f>B3*$B$26</f>
        <v>1805223</v>
      </c>
      <c r="C4" s="3">
        <f>C3*$B$26</f>
        <v>1868526.6</v>
      </c>
      <c r="D4" s="3">
        <f>D3*$B$26</f>
        <v>1937512.6</v>
      </c>
      <c r="E4" s="3">
        <f>E3*$B$26</f>
        <v>2012952</v>
      </c>
      <c r="F4" s="3">
        <f>F3*$B$26</f>
        <v>2095731.8</v>
      </c>
      <c r="G4" s="3">
        <f>SUM(B4:F4)</f>
        <v>9719946</v>
      </c>
    </row>
    <row r="5" spans="1:7" ht="12.75">
      <c r="A5" s="25" t="s">
        <v>93</v>
      </c>
      <c r="B5" s="3">
        <f>B3*$B$27</f>
        <v>90261.15000000001</v>
      </c>
      <c r="C5" s="3">
        <f>C3*$B$27</f>
        <v>93426.33</v>
      </c>
      <c r="D5" s="3">
        <f>D3*$B$27</f>
        <v>96875.63</v>
      </c>
      <c r="E5" s="3">
        <f>E3*$B$27</f>
        <v>100647.6</v>
      </c>
      <c r="F5" s="3">
        <f>F3*$B$27</f>
        <v>104786.59</v>
      </c>
      <c r="G5" s="3">
        <f>SUM(B5:F5)</f>
        <v>485997.29999999993</v>
      </c>
    </row>
    <row r="6" spans="1:6" ht="12.75">
      <c r="A6" s="22" t="s">
        <v>29</v>
      </c>
      <c r="B6" s="2">
        <v>0.3</v>
      </c>
      <c r="C6" s="4">
        <v>0.35</v>
      </c>
      <c r="D6" s="4">
        <v>0.5</v>
      </c>
      <c r="E6" s="4">
        <v>0.6</v>
      </c>
      <c r="F6" s="4">
        <v>0.7</v>
      </c>
    </row>
    <row r="7" spans="1:6" ht="12.75">
      <c r="A7" s="22" t="s">
        <v>100</v>
      </c>
      <c r="B7" s="2">
        <v>0.05</v>
      </c>
      <c r="C7" s="2">
        <f>C6-$B$24</f>
        <v>0.08999999999999997</v>
      </c>
      <c r="D7" s="2">
        <f>D6-$B$24-$B$25</f>
        <v>0.21</v>
      </c>
      <c r="E7" s="2">
        <f>E6-$B$24-$B$25-$B$25</f>
        <v>0.2799999999999999</v>
      </c>
      <c r="F7" s="2">
        <f>F6-$B$24-$B$25-$B$25-$B$25</f>
        <v>0.34999999999999987</v>
      </c>
    </row>
    <row r="8" spans="1:6" ht="12.75">
      <c r="A8" s="22" t="s">
        <v>101</v>
      </c>
      <c r="B8" s="2">
        <v>0</v>
      </c>
      <c r="C8" s="2">
        <v>0.03</v>
      </c>
      <c r="D8" s="2">
        <v>0.06</v>
      </c>
      <c r="E8" s="2">
        <v>0.09</v>
      </c>
      <c r="F8" s="2">
        <v>0.12</v>
      </c>
    </row>
    <row r="9" ht="12.75">
      <c r="A9" s="22" t="s">
        <v>102</v>
      </c>
    </row>
    <row r="10" spans="1:7" ht="12.75">
      <c r="A10" s="25" t="s">
        <v>15</v>
      </c>
      <c r="B10" s="3">
        <f aca="true" t="shared" si="0" ref="B10:F12">B3*B$7</f>
        <v>451305.75</v>
      </c>
      <c r="C10" s="3">
        <f t="shared" si="0"/>
        <v>840836.9699999997</v>
      </c>
      <c r="D10" s="3">
        <f t="shared" si="0"/>
        <v>2034388.23</v>
      </c>
      <c r="E10" s="3">
        <f t="shared" si="0"/>
        <v>2818132.7999999993</v>
      </c>
      <c r="F10" s="3">
        <f t="shared" si="0"/>
        <v>3667530.6499999985</v>
      </c>
      <c r="G10" s="3">
        <f>SUM(B10:F10)</f>
        <v>9812194.399999999</v>
      </c>
    </row>
    <row r="11" spans="1:7" ht="12.75">
      <c r="A11" s="25" t="s">
        <v>16</v>
      </c>
      <c r="B11" s="3">
        <f t="shared" si="0"/>
        <v>90261.15000000001</v>
      </c>
      <c r="C11" s="3">
        <f t="shared" si="0"/>
        <v>168167.39399999994</v>
      </c>
      <c r="D11" s="3">
        <f t="shared" si="0"/>
        <v>406877.646</v>
      </c>
      <c r="E11" s="3">
        <f t="shared" si="0"/>
        <v>563626.5599999998</v>
      </c>
      <c r="F11" s="3">
        <f t="shared" si="0"/>
        <v>733506.1299999998</v>
      </c>
      <c r="G11" s="3">
        <f aca="true" t="shared" si="1" ref="G11:G17">SUM(B11:F11)</f>
        <v>1962438.8799999994</v>
      </c>
    </row>
    <row r="12" spans="1:7" ht="12.75">
      <c r="A12" s="25" t="s">
        <v>93</v>
      </c>
      <c r="B12" s="3">
        <v>0</v>
      </c>
      <c r="C12" s="3">
        <v>0</v>
      </c>
      <c r="D12" s="3">
        <f t="shared" si="0"/>
        <v>20343.8823</v>
      </c>
      <c r="E12" s="3">
        <f t="shared" si="0"/>
        <v>28181.327999999994</v>
      </c>
      <c r="F12" s="3">
        <f t="shared" si="0"/>
        <v>36675.306499999984</v>
      </c>
      <c r="G12" s="3">
        <f t="shared" si="1"/>
        <v>85200.51679999998</v>
      </c>
    </row>
    <row r="13" spans="1:7" ht="12.75">
      <c r="A13" s="20" t="s">
        <v>17</v>
      </c>
      <c r="B13" s="21">
        <f aca="true" t="shared" si="2" ref="B13:G13">SUM(B10:B12)</f>
        <v>541566.9</v>
      </c>
      <c r="C13" s="21">
        <f t="shared" si="2"/>
        <v>1009004.3639999997</v>
      </c>
      <c r="D13" s="21">
        <f t="shared" si="2"/>
        <v>2461609.7583000003</v>
      </c>
      <c r="E13" s="21">
        <f t="shared" si="2"/>
        <v>3409940.6879999996</v>
      </c>
      <c r="F13" s="21">
        <f t="shared" si="2"/>
        <v>4437712.086499998</v>
      </c>
      <c r="G13" s="21">
        <f t="shared" si="2"/>
        <v>11859833.796799997</v>
      </c>
    </row>
    <row r="14" spans="1:7" ht="12.75">
      <c r="A14" s="22" t="s">
        <v>103</v>
      </c>
      <c r="B14" s="3"/>
      <c r="C14" s="3"/>
      <c r="D14" s="3"/>
      <c r="E14" s="3"/>
      <c r="F14" s="3"/>
      <c r="G14" s="3">
        <f t="shared" si="1"/>
        <v>0</v>
      </c>
    </row>
    <row r="15" spans="1:7" ht="12.75">
      <c r="A15" s="25" t="s">
        <v>15</v>
      </c>
      <c r="B15" s="3">
        <f aca="true" t="shared" si="3" ref="B15:F17">B3*B$8</f>
        <v>0</v>
      </c>
      <c r="C15" s="3">
        <f t="shared" si="3"/>
        <v>280278.99</v>
      </c>
      <c r="D15" s="3">
        <f t="shared" si="3"/>
        <v>581253.78</v>
      </c>
      <c r="E15" s="3">
        <f t="shared" si="3"/>
        <v>905828.4</v>
      </c>
      <c r="F15" s="3">
        <f t="shared" si="3"/>
        <v>1257439.0799999998</v>
      </c>
      <c r="G15" s="3">
        <f t="shared" si="1"/>
        <v>3024800.25</v>
      </c>
    </row>
    <row r="16" spans="1:7" ht="12.75">
      <c r="A16" s="25" t="s">
        <v>16</v>
      </c>
      <c r="B16" s="3">
        <f t="shared" si="3"/>
        <v>0</v>
      </c>
      <c r="C16" s="3">
        <f t="shared" si="3"/>
        <v>56055.798</v>
      </c>
      <c r="D16" s="3">
        <f t="shared" si="3"/>
        <v>116250.75600000001</v>
      </c>
      <c r="E16" s="3">
        <f t="shared" si="3"/>
        <v>181165.68</v>
      </c>
      <c r="F16" s="3">
        <f t="shared" si="3"/>
        <v>251487.816</v>
      </c>
      <c r="G16" s="3">
        <f t="shared" si="1"/>
        <v>604960.05</v>
      </c>
    </row>
    <row r="17" spans="1:7" ht="12.75">
      <c r="A17" s="25" t="s">
        <v>93</v>
      </c>
      <c r="B17" s="3">
        <f t="shared" si="3"/>
        <v>0</v>
      </c>
      <c r="C17" s="3">
        <f t="shared" si="3"/>
        <v>2802.7898999999998</v>
      </c>
      <c r="D17" s="3">
        <f t="shared" si="3"/>
        <v>5812.5378</v>
      </c>
      <c r="E17" s="3">
        <f t="shared" si="3"/>
        <v>9058.284</v>
      </c>
      <c r="F17" s="3">
        <f t="shared" si="3"/>
        <v>12574.3908</v>
      </c>
      <c r="G17" s="3">
        <f t="shared" si="1"/>
        <v>30248.002500000002</v>
      </c>
    </row>
    <row r="18" spans="1:7" ht="12.75">
      <c r="A18" s="20" t="s">
        <v>17</v>
      </c>
      <c r="B18" s="21">
        <f aca="true" t="shared" si="4" ref="B18:G18">SUM(B15:B17)</f>
        <v>0</v>
      </c>
      <c r="C18" s="21">
        <f t="shared" si="4"/>
        <v>339137.5779</v>
      </c>
      <c r="D18" s="21">
        <f t="shared" si="4"/>
        <v>703317.0738000001</v>
      </c>
      <c r="E18" s="21">
        <f t="shared" si="4"/>
        <v>1096052.364</v>
      </c>
      <c r="F18" s="21">
        <f t="shared" si="4"/>
        <v>1521501.2867999997</v>
      </c>
      <c r="G18" s="21">
        <f t="shared" si="4"/>
        <v>3660008.3024999998</v>
      </c>
    </row>
    <row r="21" ht="12.75">
      <c r="A21" s="17" t="s">
        <v>33</v>
      </c>
    </row>
    <row r="22" ht="12.75">
      <c r="A22" t="s">
        <v>96</v>
      </c>
    </row>
    <row r="23" ht="12.75">
      <c r="A23" t="s">
        <v>97</v>
      </c>
    </row>
    <row r="24" spans="1:2" ht="12.75">
      <c r="A24" t="s">
        <v>98</v>
      </c>
      <c r="B24" s="2">
        <v>0.26</v>
      </c>
    </row>
    <row r="25" spans="1:2" ht="12.75">
      <c r="A25" t="s">
        <v>99</v>
      </c>
      <c r="B25" s="2">
        <v>0.03</v>
      </c>
    </row>
    <row r="26" spans="1:2" ht="12.75">
      <c r="A26" t="s">
        <v>58</v>
      </c>
      <c r="B26" s="4">
        <v>0.2</v>
      </c>
    </row>
    <row r="27" spans="1:2" ht="12.75">
      <c r="A27" t="s">
        <v>59</v>
      </c>
      <c r="B27" s="4">
        <v>0.01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D31" sqref="D31"/>
    </sheetView>
  </sheetViews>
  <sheetFormatPr defaultColWidth="9.140625" defaultRowHeight="12.75"/>
  <cols>
    <col min="1" max="1" width="40.57421875" style="7" customWidth="1"/>
    <col min="2" max="2" width="13.8515625" style="7" bestFit="1" customWidth="1"/>
    <col min="3" max="3" width="4.7109375" style="7" customWidth="1"/>
    <col min="4" max="4" width="13.8515625" style="7" bestFit="1" customWidth="1"/>
    <col min="5" max="5" width="4.7109375" style="7" customWidth="1"/>
    <col min="6" max="6" width="13.8515625" style="7" bestFit="1" customWidth="1"/>
    <col min="7" max="7" width="4.7109375" style="7" customWidth="1"/>
    <col min="8" max="8" width="13.8515625" style="7" bestFit="1" customWidth="1"/>
    <col min="9" max="9" width="4.7109375" style="7" customWidth="1"/>
    <col min="10" max="10" width="14.8515625" style="7" bestFit="1" customWidth="1"/>
    <col min="11" max="11" width="4.7109375" style="7" customWidth="1"/>
    <col min="12" max="16384" width="9.140625" style="7" customWidth="1"/>
  </cols>
  <sheetData>
    <row r="1" spans="1:11" ht="12.75">
      <c r="A1" s="16" t="s">
        <v>12</v>
      </c>
      <c r="B1" s="16">
        <v>2002</v>
      </c>
      <c r="C1" s="16" t="s">
        <v>56</v>
      </c>
      <c r="D1" s="16">
        <v>2003</v>
      </c>
      <c r="E1" s="16" t="s">
        <v>56</v>
      </c>
      <c r="F1" s="16">
        <v>2004</v>
      </c>
      <c r="G1" s="16" t="s">
        <v>56</v>
      </c>
      <c r="H1" s="16">
        <v>2005</v>
      </c>
      <c r="I1" s="16" t="s">
        <v>56</v>
      </c>
      <c r="J1" s="16" t="s">
        <v>14</v>
      </c>
      <c r="K1" s="16" t="s">
        <v>56</v>
      </c>
    </row>
    <row r="2" spans="1:11" ht="12.75">
      <c r="A2" s="22" t="s">
        <v>27</v>
      </c>
      <c r="B2" s="7">
        <f>Demand!B7</f>
        <v>870000</v>
      </c>
      <c r="C2" s="33">
        <f>B2/B$9</f>
        <v>0.045501734589343826</v>
      </c>
      <c r="D2" s="7">
        <f>Demand!C7</f>
        <v>915000</v>
      </c>
      <c r="E2" s="33">
        <f>D2/D$9</f>
        <v>0.017232281689037152</v>
      </c>
      <c r="F2" s="7">
        <f>Demand!D7</f>
        <v>840000</v>
      </c>
      <c r="G2" s="33">
        <f aca="true" t="shared" si="0" ref="G2:G8">F2/F$9</f>
        <v>0.012501626010558235</v>
      </c>
      <c r="H2" s="7">
        <f>Demand!E7</f>
        <v>840000</v>
      </c>
      <c r="I2" s="33">
        <f aca="true" t="shared" si="1" ref="I2:I8">H2/H$9</f>
        <v>0.009865002398953524</v>
      </c>
      <c r="J2" s="7">
        <f aca="true" t="shared" si="2" ref="J2:J9">SUM(B2:H2)</f>
        <v>3465000.075235642</v>
      </c>
      <c r="K2" s="33">
        <f>J2/$J$9</f>
        <v>0.015430248730195674</v>
      </c>
    </row>
    <row r="3" spans="1:11" ht="12.75">
      <c r="A3" s="22" t="s">
        <v>46</v>
      </c>
      <c r="B3" s="7">
        <f>Supply!B5</f>
        <v>10930880.609999996</v>
      </c>
      <c r="C3" s="33">
        <f aca="true" t="shared" si="3" ref="C3:E8">B3/B$9</f>
        <v>0.5716942854529018</v>
      </c>
      <c r="D3" s="7">
        <f>Supply!C5</f>
        <v>36618988.14</v>
      </c>
      <c r="E3" s="33">
        <f t="shared" si="3"/>
        <v>0.6896488730010827</v>
      </c>
      <c r="F3" s="7">
        <f>Supply!D5</f>
        <v>50726390.39999999</v>
      </c>
      <c r="G3" s="33">
        <f t="shared" si="0"/>
        <v>0.7549551924361564</v>
      </c>
      <c r="H3" s="7">
        <f>Supply!E5</f>
        <v>66015551.69999997</v>
      </c>
      <c r="I3" s="33">
        <f t="shared" si="1"/>
        <v>0.7752899712961193</v>
      </c>
      <c r="J3" s="7">
        <f t="shared" si="2"/>
        <v>164291812.86629832</v>
      </c>
      <c r="K3" s="33">
        <f aca="true" t="shared" si="4" ref="K3:K8">J3/$J$9</f>
        <v>0.7316200524726812</v>
      </c>
    </row>
    <row r="4" spans="1:11" ht="12.75">
      <c r="A4" s="22" t="s">
        <v>20</v>
      </c>
      <c r="B4" s="7">
        <f>Supply!B9</f>
        <v>4004617.9499999983</v>
      </c>
      <c r="C4" s="33">
        <f t="shared" si="3"/>
        <v>0.20944490010646216</v>
      </c>
      <c r="D4" s="7">
        <f>Supply!C9</f>
        <v>10969643.178000003</v>
      </c>
      <c r="E4" s="33">
        <f t="shared" si="3"/>
        <v>0.20659232925849266</v>
      </c>
      <c r="F4" s="7">
        <f>Supply!D9</f>
        <v>10760616.026999995</v>
      </c>
      <c r="G4" s="33">
        <f t="shared" si="0"/>
        <v>0.16014904430092017</v>
      </c>
      <c r="H4" s="7">
        <f>Supply!E9</f>
        <v>13134002.594999991</v>
      </c>
      <c r="I4" s="33">
        <f t="shared" si="1"/>
        <v>0.1542463894137342</v>
      </c>
      <c r="J4" s="7">
        <f t="shared" si="2"/>
        <v>38868880.32618626</v>
      </c>
      <c r="K4" s="33">
        <f t="shared" si="4"/>
        <v>0.17308989271998096</v>
      </c>
    </row>
    <row r="5" spans="1:11" ht="12.75">
      <c r="A5" s="22" t="s">
        <v>47</v>
      </c>
      <c r="B5" s="7">
        <f>Supply!B10</f>
        <v>768886.6463999997</v>
      </c>
      <c r="C5" s="33">
        <f t="shared" si="3"/>
        <v>0.040213420820440736</v>
      </c>
      <c r="D5" s="7">
        <f>Supply!C10</f>
        <v>2106171.4901760006</v>
      </c>
      <c r="E5" s="33">
        <f t="shared" si="3"/>
        <v>0.03966572721763059</v>
      </c>
      <c r="F5" s="7">
        <f>Supply!D10</f>
        <v>2066038.277183999</v>
      </c>
      <c r="G5" s="33">
        <f t="shared" si="0"/>
        <v>0.030748616505776673</v>
      </c>
      <c r="H5" s="7">
        <f>Supply!E10</f>
        <v>2521728.4982399982</v>
      </c>
      <c r="I5" s="33">
        <f t="shared" si="1"/>
        <v>0.029615306767436966</v>
      </c>
      <c r="J5" s="7">
        <f t="shared" si="2"/>
        <v>7462825.022627763</v>
      </c>
      <c r="K5" s="33">
        <f t="shared" si="4"/>
        <v>0.03323325940223635</v>
      </c>
    </row>
    <row r="6" spans="1:11" ht="12.75">
      <c r="A6" s="22" t="s">
        <v>28</v>
      </c>
      <c r="B6" s="7">
        <f>Supply!B16</f>
        <v>540000</v>
      </c>
      <c r="C6" s="33">
        <f t="shared" si="3"/>
        <v>0.02824245595200651</v>
      </c>
      <c r="D6" s="7">
        <f>Supply!C16</f>
        <v>370000</v>
      </c>
      <c r="E6" s="33">
        <f t="shared" si="3"/>
        <v>0.00696824505458333</v>
      </c>
      <c r="F6" s="7">
        <f>Supply!D16</f>
        <v>680000</v>
      </c>
      <c r="G6" s="33">
        <f t="shared" si="0"/>
        <v>0.010120363913309047</v>
      </c>
      <c r="H6" s="7">
        <f>Supply!E16</f>
        <v>520000</v>
      </c>
      <c r="I6" s="33">
        <f t="shared" si="1"/>
        <v>0.0061069062469712295</v>
      </c>
      <c r="J6" s="7">
        <f t="shared" si="2"/>
        <v>2110000.0453310646</v>
      </c>
      <c r="K6" s="33">
        <f t="shared" si="4"/>
        <v>0.009396197637302602</v>
      </c>
    </row>
    <row r="7" spans="1:11" ht="12.75">
      <c r="A7" s="22" t="s">
        <v>13</v>
      </c>
      <c r="B7" s="7">
        <f>Communications!B7</f>
        <v>792000</v>
      </c>
      <c r="C7" s="33">
        <f t="shared" si="3"/>
        <v>0.04142226872960955</v>
      </c>
      <c r="D7" s="7">
        <f>Communications!C7</f>
        <v>792000</v>
      </c>
      <c r="E7" s="33">
        <f t="shared" si="3"/>
        <v>0.01491581103575675</v>
      </c>
      <c r="F7" s="7">
        <f>Communications!D7</f>
        <v>792000</v>
      </c>
      <c r="G7" s="33">
        <f t="shared" si="0"/>
        <v>0.011787247381383478</v>
      </c>
      <c r="H7" s="7">
        <f>Communications!E7</f>
        <v>792000</v>
      </c>
      <c r="I7" s="33">
        <f t="shared" si="1"/>
        <v>0.00930128797615618</v>
      </c>
      <c r="J7" s="7">
        <f t="shared" si="2"/>
        <v>3168000.0681253276</v>
      </c>
      <c r="K7" s="33">
        <f t="shared" si="4"/>
        <v>0.014107655978947212</v>
      </c>
    </row>
    <row r="8" spans="1:11" ht="12.75">
      <c r="A8" s="22" t="s">
        <v>30</v>
      </c>
      <c r="B8" s="7">
        <f>Administration!B9</f>
        <v>1213765</v>
      </c>
      <c r="C8" s="33">
        <f t="shared" si="3"/>
        <v>0.06348093434923553</v>
      </c>
      <c r="D8" s="7">
        <f>Administration!C9</f>
        <v>1326215</v>
      </c>
      <c r="E8" s="33">
        <f t="shared" si="3"/>
        <v>0.02497673274341684</v>
      </c>
      <c r="F8" s="7">
        <f>Administration!D9</f>
        <v>1326215</v>
      </c>
      <c r="G8" s="33">
        <f t="shared" si="0"/>
        <v>0.01973790945189582</v>
      </c>
      <c r="H8" s="7">
        <f>Administration!E9</f>
        <v>1326215</v>
      </c>
      <c r="I8" s="33">
        <f t="shared" si="1"/>
        <v>0.015575135900628749</v>
      </c>
      <c r="J8" s="7">
        <f t="shared" si="2"/>
        <v>5192410.108195577</v>
      </c>
      <c r="K8" s="33">
        <f t="shared" si="4"/>
        <v>0.023122706418178447</v>
      </c>
    </row>
    <row r="9" spans="1:11" ht="12.75">
      <c r="A9" s="18" t="s">
        <v>14</v>
      </c>
      <c r="B9" s="19">
        <f>SUM(B2:B8)</f>
        <v>19120150.206399992</v>
      </c>
      <c r="C9" s="19"/>
      <c r="D9" s="19">
        <f>SUM(D2:D8)</f>
        <v>53098017.808176</v>
      </c>
      <c r="E9" s="19"/>
      <c r="F9" s="19">
        <f>SUM(F2:F8)</f>
        <v>67191259.704184</v>
      </c>
      <c r="G9" s="19"/>
      <c r="H9" s="19">
        <f>SUM(H2:H8)</f>
        <v>85149497.79323995</v>
      </c>
      <c r="I9" s="19"/>
      <c r="J9" s="19">
        <f t="shared" si="2"/>
        <v>224558925.51199993</v>
      </c>
      <c r="K9" s="23"/>
    </row>
  </sheetData>
  <printOptions/>
  <pageMargins left="0.75" right="0.75" top="1" bottom="1" header="0.5" footer="0.5"/>
  <pageSetup fitToHeight="1" fitToWidth="1" horizontalDpi="600" verticalDpi="600" orientation="landscape" paperSize="9" scale="98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A17" sqref="A17"/>
    </sheetView>
  </sheetViews>
  <sheetFormatPr defaultColWidth="9.140625" defaultRowHeight="12.75"/>
  <cols>
    <col min="1" max="1" width="40.7109375" style="0" customWidth="1"/>
    <col min="2" max="6" width="12.57421875" style="0" customWidth="1"/>
  </cols>
  <sheetData>
    <row r="1" spans="1:6" s="14" customFormat="1" ht="12.75">
      <c r="A1" s="16" t="s">
        <v>12</v>
      </c>
      <c r="B1" s="16">
        <v>2002</v>
      </c>
      <c r="C1" s="16">
        <v>2003</v>
      </c>
      <c r="D1" s="16">
        <v>2004</v>
      </c>
      <c r="E1" s="16">
        <v>2005</v>
      </c>
      <c r="F1" s="16" t="s">
        <v>14</v>
      </c>
    </row>
    <row r="2" spans="1:6" ht="12.75">
      <c r="A2" s="22" t="s">
        <v>43</v>
      </c>
      <c r="B2" s="3">
        <v>100000</v>
      </c>
      <c r="C2" s="3">
        <v>100000</v>
      </c>
      <c r="D2" s="3">
        <v>100000</v>
      </c>
      <c r="E2" s="3">
        <v>100000</v>
      </c>
      <c r="F2" s="3">
        <f>SUM(B2:E2)</f>
        <v>400000</v>
      </c>
    </row>
    <row r="3" spans="1:6" ht="12.75">
      <c r="A3" s="22" t="s">
        <v>44</v>
      </c>
      <c r="B3" s="3">
        <f>B12*B13*B14</f>
        <v>270000</v>
      </c>
      <c r="C3" s="3">
        <f>C12*C13*C14</f>
        <v>315000</v>
      </c>
      <c r="D3" s="3">
        <f>D12*D13*D14</f>
        <v>315000</v>
      </c>
      <c r="E3" s="3">
        <f>E12*E13*E14</f>
        <v>315000</v>
      </c>
      <c r="F3" s="3">
        <f>SUM(B3:E3)</f>
        <v>1215000</v>
      </c>
    </row>
    <row r="4" spans="1:6" ht="12.75">
      <c r="A4" s="22" t="s">
        <v>45</v>
      </c>
      <c r="B4" s="3">
        <v>200000</v>
      </c>
      <c r="C4" s="3">
        <v>200000</v>
      </c>
      <c r="D4" s="3">
        <v>200000</v>
      </c>
      <c r="E4" s="3">
        <v>200000</v>
      </c>
      <c r="F4" s="3">
        <f>SUM(B4:E4)</f>
        <v>800000</v>
      </c>
    </row>
    <row r="5" spans="1:6" ht="12.75">
      <c r="A5" s="22" t="s">
        <v>54</v>
      </c>
      <c r="B5" s="3">
        <f>B16*B17</f>
        <v>300000</v>
      </c>
      <c r="C5" s="3">
        <f>C16*C17</f>
        <v>300000</v>
      </c>
      <c r="D5" s="3">
        <f>D16*D17</f>
        <v>225000</v>
      </c>
      <c r="E5" s="3">
        <f>E16*E17</f>
        <v>225000</v>
      </c>
      <c r="F5" s="3">
        <f>SUM(B5:E5)</f>
        <v>1050000</v>
      </c>
    </row>
    <row r="6" spans="1:6" ht="12.75">
      <c r="A6" s="22"/>
      <c r="B6" s="3"/>
      <c r="C6" s="3"/>
      <c r="D6" s="3"/>
      <c r="E6" s="3"/>
      <c r="F6" s="3">
        <f>SUM(B6:E6)</f>
        <v>0</v>
      </c>
    </row>
    <row r="7" spans="1:6" ht="12.75">
      <c r="A7" s="20" t="s">
        <v>14</v>
      </c>
      <c r="B7" s="24">
        <f>SUM(B2:B6)</f>
        <v>870000</v>
      </c>
      <c r="C7" s="24">
        <f>SUM(C2:C6)</f>
        <v>915000</v>
      </c>
      <c r="D7" s="24">
        <f>SUM(D2:D6)</f>
        <v>840000</v>
      </c>
      <c r="E7" s="24">
        <f>SUM(E2:E6)</f>
        <v>840000</v>
      </c>
      <c r="F7" s="24">
        <f>SUM(F2:F6)</f>
        <v>3465000</v>
      </c>
    </row>
    <row r="10" ht="12.75">
      <c r="A10" s="17" t="s">
        <v>33</v>
      </c>
    </row>
    <row r="11" spans="1:5" ht="12.75">
      <c r="A11" t="s">
        <v>60</v>
      </c>
      <c r="B11" s="28">
        <v>2002</v>
      </c>
      <c r="C11" s="28">
        <v>2003</v>
      </c>
      <c r="D11" s="28">
        <v>2004</v>
      </c>
      <c r="E11" s="28">
        <v>2005</v>
      </c>
    </row>
    <row r="12" spans="1:5" ht="12.75">
      <c r="A12" s="32" t="s">
        <v>72</v>
      </c>
      <c r="B12">
        <v>30</v>
      </c>
      <c r="C12">
        <v>35</v>
      </c>
      <c r="D12">
        <v>35</v>
      </c>
      <c r="E12">
        <v>35</v>
      </c>
    </row>
    <row r="13" spans="1:5" ht="12.75">
      <c r="A13" s="30" t="s">
        <v>55</v>
      </c>
      <c r="B13">
        <v>15</v>
      </c>
      <c r="C13">
        <v>15</v>
      </c>
      <c r="D13">
        <v>15</v>
      </c>
      <c r="E13">
        <v>15</v>
      </c>
    </row>
    <row r="14" spans="1:5" ht="12.75">
      <c r="A14" s="30" t="s">
        <v>61</v>
      </c>
      <c r="B14">
        <v>600</v>
      </c>
      <c r="C14">
        <v>600</v>
      </c>
      <c r="D14">
        <v>600</v>
      </c>
      <c r="E14">
        <v>600</v>
      </c>
    </row>
    <row r="15" spans="1:5" ht="12.75">
      <c r="A15" t="s">
        <v>85</v>
      </c>
      <c r="B15" s="28">
        <v>2002</v>
      </c>
      <c r="C15" s="28">
        <v>2003</v>
      </c>
      <c r="D15" s="28">
        <v>2004</v>
      </c>
      <c r="E15" s="28">
        <v>2005</v>
      </c>
    </row>
    <row r="16" spans="1:5" ht="12.75">
      <c r="A16" s="30" t="s">
        <v>86</v>
      </c>
      <c r="B16">
        <v>20</v>
      </c>
      <c r="C16">
        <v>20</v>
      </c>
      <c r="D16">
        <v>15</v>
      </c>
      <c r="E16">
        <v>15</v>
      </c>
    </row>
    <row r="17" spans="1:5" ht="12.75">
      <c r="A17" s="30" t="s">
        <v>87</v>
      </c>
      <c r="B17">
        <v>15000</v>
      </c>
      <c r="C17">
        <v>15000</v>
      </c>
      <c r="D17">
        <v>15000</v>
      </c>
      <c r="E17">
        <v>15000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1">
      <selection activeCell="C3" sqref="C3"/>
    </sheetView>
  </sheetViews>
  <sheetFormatPr defaultColWidth="9.140625" defaultRowHeight="12.75"/>
  <cols>
    <col min="1" max="1" width="40.7109375" style="10" customWidth="1"/>
    <col min="2" max="7" width="13.00390625" style="10" customWidth="1"/>
    <col min="8" max="16384" width="9.140625" style="10" customWidth="1"/>
  </cols>
  <sheetData>
    <row r="1" spans="1:6" ht="12.75">
      <c r="A1" s="16" t="s">
        <v>12</v>
      </c>
      <c r="B1" s="16">
        <v>2002</v>
      </c>
      <c r="C1" s="16">
        <v>2003</v>
      </c>
      <c r="D1" s="16">
        <v>2004</v>
      </c>
      <c r="E1" s="16">
        <v>2005</v>
      </c>
      <c r="F1" s="16" t="s">
        <v>14</v>
      </c>
    </row>
    <row r="2" ht="12.75">
      <c r="A2" s="22" t="s">
        <v>46</v>
      </c>
    </row>
    <row r="3" spans="1:6" ht="12.75">
      <c r="A3" s="25" t="s">
        <v>18</v>
      </c>
      <c r="B3" s="11">
        <f>SUM(Estimates!C10*Supply!$B$23)+(Estimates!C11*Supply!$C$23)</f>
        <v>10930880.609999996</v>
      </c>
      <c r="C3" s="11">
        <f>SUM(Estimates!D10*Supply!$B$23)+(Estimates!D11*Supply!$C$23)</f>
        <v>26447046.990000002</v>
      </c>
      <c r="D3" s="11">
        <f>SUM(Estimates!E10*Supply!$B$23)+(Estimates!E11*Supply!$C$23)</f>
        <v>36635726.39999999</v>
      </c>
      <c r="E3" s="11">
        <f>SUM(Estimates!F10*Supply!$B$23)+(Estimates!F11*Supply!$C$23)</f>
        <v>47677898.44999998</v>
      </c>
      <c r="F3" s="11">
        <f>SUM(B3:E3)</f>
        <v>121691552.44999996</v>
      </c>
    </row>
    <row r="4" spans="1:6" ht="12.75">
      <c r="A4" s="25" t="s">
        <v>19</v>
      </c>
      <c r="B4" s="11">
        <f>SUM(Estimates!C12*Supply!$D$23)</f>
        <v>0</v>
      </c>
      <c r="C4" s="11">
        <f>SUM(Estimates!D12*Supply!$D$23)</f>
        <v>10171941.15</v>
      </c>
      <c r="D4" s="11">
        <f>SUM(Estimates!E12*Supply!$D$23)</f>
        <v>14090663.999999996</v>
      </c>
      <c r="E4" s="11">
        <f>SUM(Estimates!F12*Supply!$D$23)</f>
        <v>18337653.249999993</v>
      </c>
      <c r="F4" s="11">
        <f>SUM(B4:E4)</f>
        <v>42600258.39999999</v>
      </c>
    </row>
    <row r="5" spans="1:6" ht="12.75">
      <c r="A5" s="24" t="s">
        <v>52</v>
      </c>
      <c r="B5" s="24">
        <f>SUM(B3:B4)</f>
        <v>10930880.609999996</v>
      </c>
      <c r="C5" s="24">
        <f>SUM(C3:C4)</f>
        <v>36618988.14</v>
      </c>
      <c r="D5" s="24">
        <f>SUM(D3:D4)</f>
        <v>50726390.39999999</v>
      </c>
      <c r="E5" s="24">
        <f>SUM(E3:E4)</f>
        <v>66015551.69999997</v>
      </c>
      <c r="F5" s="24">
        <f>SUM(B5:E5)</f>
        <v>164291810.84999996</v>
      </c>
    </row>
    <row r="6" spans="1:6" ht="12.75">
      <c r="A6" s="22" t="s">
        <v>20</v>
      </c>
      <c r="B6" s="11"/>
      <c r="C6" s="11"/>
      <c r="D6" s="11"/>
      <c r="E6" s="11"/>
      <c r="F6" s="11"/>
    </row>
    <row r="7" spans="1:6" ht="12.75">
      <c r="A7" s="25" t="s">
        <v>26</v>
      </c>
      <c r="B7" s="11">
        <f>Estimates!B10*Supply!$E$23</f>
        <v>1083133.8</v>
      </c>
      <c r="C7" s="11">
        <f>Estimates!C10*Supply!$E$23</f>
        <v>2018008.7279999992</v>
      </c>
      <c r="D7" s="11">
        <f>Estimates!D10*Supply!$E$23</f>
        <v>4882531.751999999</v>
      </c>
      <c r="E7" s="11">
        <f>Estimates!E10*Supply!$E$23</f>
        <v>6763518.719999998</v>
      </c>
      <c r="F7" s="11">
        <f>SUM(B7:E7)</f>
        <v>14747192.999999996</v>
      </c>
    </row>
    <row r="8" spans="1:6" ht="12.75">
      <c r="A8" s="25" t="s">
        <v>35</v>
      </c>
      <c r="B8" s="11">
        <f>$F$24*SUM(Estimates!C10-Estimates!B10)/100</f>
        <v>2921484.149999998</v>
      </c>
      <c r="C8" s="11">
        <f>$F$24*SUM(Estimates!D10-Estimates!C10)/100</f>
        <v>8951634.450000003</v>
      </c>
      <c r="D8" s="11">
        <f>$F$24*SUM(Estimates!E10-Estimates!D10)/100</f>
        <v>5878084.274999995</v>
      </c>
      <c r="E8" s="11">
        <f>$F$24*SUM(Estimates!F10-Estimates!E10)/100</f>
        <v>6370483.874999994</v>
      </c>
      <c r="F8" s="11">
        <f>SUM(B8:E8)</f>
        <v>24121686.749999993</v>
      </c>
    </row>
    <row r="9" spans="1:6" ht="12.75">
      <c r="A9" s="24" t="s">
        <v>52</v>
      </c>
      <c r="B9" s="24">
        <f>SUM(B7:B8)</f>
        <v>4004617.9499999983</v>
      </c>
      <c r="C9" s="24">
        <f>SUM(C7:C8)</f>
        <v>10969643.178000003</v>
      </c>
      <c r="D9" s="24">
        <f>SUM(D7:D8)</f>
        <v>10760616.026999995</v>
      </c>
      <c r="E9" s="24">
        <f>SUM(E7:E8)</f>
        <v>13134002.594999991</v>
      </c>
      <c r="F9" s="24">
        <f>SUM(B9:E9)</f>
        <v>38868879.749999985</v>
      </c>
    </row>
    <row r="10" spans="1:6" ht="12.75">
      <c r="A10" s="22" t="s">
        <v>39</v>
      </c>
      <c r="B10" s="12">
        <f>B9*$B$32</f>
        <v>768886.6463999997</v>
      </c>
      <c r="C10" s="12">
        <f>C9*$B$32</f>
        <v>2106171.4901760006</v>
      </c>
      <c r="D10" s="12">
        <f>D9*$B$32</f>
        <v>2066038.277183999</v>
      </c>
      <c r="E10" s="12">
        <f>E9*$B$32</f>
        <v>2521728.4982399982</v>
      </c>
      <c r="F10" s="11">
        <f>SUM(B10:E10)</f>
        <v>7462824.911999999</v>
      </c>
    </row>
    <row r="11" ht="12.75">
      <c r="A11" s="22" t="s">
        <v>68</v>
      </c>
    </row>
    <row r="12" spans="1:6" ht="12.75">
      <c r="A12" s="25" t="s">
        <v>69</v>
      </c>
      <c r="B12" s="12">
        <v>30000</v>
      </c>
      <c r="C12" s="12">
        <v>30000</v>
      </c>
      <c r="D12" s="12">
        <v>30000</v>
      </c>
      <c r="E12" s="12">
        <v>30000</v>
      </c>
      <c r="F12" s="11">
        <f>SUM(B12:E12)</f>
        <v>120000</v>
      </c>
    </row>
    <row r="13" spans="1:6" ht="12.75">
      <c r="A13" s="25" t="s">
        <v>40</v>
      </c>
      <c r="B13" s="13">
        <f>B34*B35</f>
        <v>60000</v>
      </c>
      <c r="C13" s="13">
        <f>C34*C35</f>
        <v>40000</v>
      </c>
      <c r="D13" s="13">
        <f>D34*D35</f>
        <v>50000</v>
      </c>
      <c r="E13" s="13">
        <f>E34*E35</f>
        <v>40000</v>
      </c>
      <c r="F13" s="11">
        <f>SUM(B13:E13)</f>
        <v>190000</v>
      </c>
    </row>
    <row r="14" spans="1:6" ht="12.75">
      <c r="A14" s="25" t="s">
        <v>41</v>
      </c>
      <c r="B14" s="12">
        <f>B36*B37</f>
        <v>375000</v>
      </c>
      <c r="C14" s="12">
        <f>C36*C37</f>
        <v>250000</v>
      </c>
      <c r="D14" s="12">
        <f>D36*D37</f>
        <v>500000</v>
      </c>
      <c r="E14" s="12">
        <f>E36*E37</f>
        <v>375000</v>
      </c>
      <c r="F14" s="11">
        <f>SUM(B14:E14)</f>
        <v>1500000</v>
      </c>
    </row>
    <row r="15" spans="1:6" ht="12.75">
      <c r="A15" s="25" t="s">
        <v>11</v>
      </c>
      <c r="B15" s="12">
        <f>B38*B37</f>
        <v>75000</v>
      </c>
      <c r="C15" s="12">
        <f>C38*C37</f>
        <v>50000</v>
      </c>
      <c r="D15" s="12">
        <f>D38*D37</f>
        <v>100000</v>
      </c>
      <c r="E15" s="12">
        <f>E38*E37</f>
        <v>75000</v>
      </c>
      <c r="F15" s="11">
        <f>SUM(B15:E15)</f>
        <v>300000</v>
      </c>
    </row>
    <row r="16" spans="1:6" ht="12.75">
      <c r="A16" s="24" t="s">
        <v>52</v>
      </c>
      <c r="B16" s="21">
        <f>SUM(B12:B15)</f>
        <v>540000</v>
      </c>
      <c r="C16" s="21">
        <f>SUM(C12:C15)</f>
        <v>370000</v>
      </c>
      <c r="D16" s="21">
        <f>SUM(D12:D15)</f>
        <v>680000</v>
      </c>
      <c r="E16" s="21">
        <f>SUM(E12:E15)</f>
        <v>520000</v>
      </c>
      <c r="F16" s="21">
        <f>SUM(B16:E16)</f>
        <v>2110000</v>
      </c>
    </row>
    <row r="18" spans="1:6" ht="12.75">
      <c r="A18" s="21" t="s">
        <v>104</v>
      </c>
      <c r="B18" s="21">
        <f>(B5+B9+B10+B16)*Estimates!C18/Estimates!C13</f>
        <v>5459918.361039999</v>
      </c>
      <c r="C18" s="21">
        <f>(C5+C9+C10+C16)*Estimates!D18/Estimates!D13</f>
        <v>14304229.373764573</v>
      </c>
      <c r="D18" s="21">
        <f>(D5+D9+D10+D16)*Estimates!E18/Estimates!E13</f>
        <v>20646335.79777343</v>
      </c>
      <c r="E18" s="21">
        <f>(E5+E9+E10+E16)*Estimates!F18/Estimates!F13</f>
        <v>28179868.3862537</v>
      </c>
      <c r="F18" s="21">
        <f>SUM(B18:E18)</f>
        <v>68590351.9188317</v>
      </c>
    </row>
    <row r="21" spans="1:5" ht="12.75">
      <c r="A21" s="17" t="s">
        <v>33</v>
      </c>
      <c r="B21" s="7"/>
      <c r="C21" s="7"/>
      <c r="D21" s="7"/>
      <c r="E21" s="7"/>
    </row>
    <row r="22" spans="1:6" ht="27.75" customHeight="1">
      <c r="A22" s="8" t="s">
        <v>38</v>
      </c>
      <c r="B22" s="26" t="s">
        <v>21</v>
      </c>
      <c r="C22" s="26" t="s">
        <v>22</v>
      </c>
      <c r="D22" s="26" t="s">
        <v>23</v>
      </c>
      <c r="E22" s="26" t="s">
        <v>82</v>
      </c>
      <c r="F22" s="27" t="s">
        <v>35</v>
      </c>
    </row>
    <row r="23" spans="1:7" ht="12.75">
      <c r="A23" s="29" t="s">
        <v>36</v>
      </c>
      <c r="B23" s="8">
        <v>10</v>
      </c>
      <c r="C23" s="8">
        <v>15</v>
      </c>
      <c r="D23" s="8">
        <v>500</v>
      </c>
      <c r="E23" s="8">
        <f>30*0.08</f>
        <v>2.4</v>
      </c>
      <c r="G23" s="7"/>
    </row>
    <row r="24" spans="1:6" ht="12.75">
      <c r="A24" s="29" t="s">
        <v>37</v>
      </c>
      <c r="C24" s="8"/>
      <c r="D24" s="8"/>
      <c r="E24" s="8"/>
      <c r="F24" s="7">
        <v>750</v>
      </c>
    </row>
    <row r="25" spans="1:6" ht="12.75">
      <c r="A25" s="8"/>
      <c r="B25" s="8"/>
      <c r="C25" s="8"/>
      <c r="D25" s="8"/>
      <c r="E25" s="8"/>
      <c r="F25" s="7"/>
    </row>
    <row r="26" spans="1:6" ht="12.75">
      <c r="A26" s="8" t="s">
        <v>53</v>
      </c>
      <c r="B26" s="8"/>
      <c r="C26" s="8"/>
      <c r="D26" s="8"/>
      <c r="E26" s="8"/>
      <c r="F26" s="7"/>
    </row>
    <row r="27" spans="1:6" ht="12.75">
      <c r="A27" s="29" t="s">
        <v>8</v>
      </c>
      <c r="B27" s="9">
        <v>0.02</v>
      </c>
      <c r="D27" s="8"/>
      <c r="E27" s="8"/>
      <c r="F27" s="7"/>
    </row>
    <row r="28" spans="1:6" ht="12.75">
      <c r="A28" s="29" t="s">
        <v>7</v>
      </c>
      <c r="B28" s="9">
        <v>0.007</v>
      </c>
      <c r="D28" s="8"/>
      <c r="E28" s="8"/>
      <c r="F28" s="7"/>
    </row>
    <row r="29" spans="1:6" ht="12.75">
      <c r="A29" s="29" t="s">
        <v>9</v>
      </c>
      <c r="B29" s="9">
        <v>0.125</v>
      </c>
      <c r="D29" s="8"/>
      <c r="E29" s="8"/>
      <c r="F29" s="7"/>
    </row>
    <row r="30" spans="1:6" ht="12.75">
      <c r="A30" s="29" t="s">
        <v>10</v>
      </c>
      <c r="B30" s="9">
        <v>0.01</v>
      </c>
      <c r="D30" s="8"/>
      <c r="E30" s="8"/>
      <c r="F30" s="7"/>
    </row>
    <row r="31" spans="1:6" ht="12.75">
      <c r="A31" s="29" t="s">
        <v>11</v>
      </c>
      <c r="B31" s="9">
        <v>0.03</v>
      </c>
      <c r="D31" s="8"/>
      <c r="E31" s="8"/>
      <c r="F31" s="7"/>
    </row>
    <row r="32" spans="1:6" ht="12.75">
      <c r="A32" s="29" t="s">
        <v>14</v>
      </c>
      <c r="B32" s="9">
        <f>SUM(B27:B31)</f>
        <v>0.192</v>
      </c>
      <c r="D32" s="8"/>
      <c r="E32" s="8"/>
      <c r="F32" s="7"/>
    </row>
    <row r="33" spans="1:5" ht="12.75">
      <c r="A33" s="10" t="s">
        <v>67</v>
      </c>
      <c r="B33" s="28">
        <v>2002</v>
      </c>
      <c r="C33" s="28">
        <v>2003</v>
      </c>
      <c r="D33" s="28">
        <v>2004</v>
      </c>
      <c r="E33" s="28">
        <v>2005</v>
      </c>
    </row>
    <row r="34" spans="1:5" ht="12.75">
      <c r="A34" s="30" t="s">
        <v>63</v>
      </c>
      <c r="B34" s="12">
        <v>2000</v>
      </c>
      <c r="C34" s="12">
        <v>2000</v>
      </c>
      <c r="D34" s="12">
        <v>2000</v>
      </c>
      <c r="E34" s="12">
        <v>2000</v>
      </c>
    </row>
    <row r="35" spans="1:5" ht="12.75">
      <c r="A35" s="30" t="s">
        <v>64</v>
      </c>
      <c r="B35" s="12">
        <v>30</v>
      </c>
      <c r="C35" s="12">
        <v>20</v>
      </c>
      <c r="D35" s="12">
        <v>25</v>
      </c>
      <c r="E35" s="12">
        <v>20</v>
      </c>
    </row>
    <row r="36" spans="1:5" ht="12.75">
      <c r="A36" s="30" t="s">
        <v>65</v>
      </c>
      <c r="B36" s="12">
        <v>25000</v>
      </c>
      <c r="C36" s="12">
        <v>25000</v>
      </c>
      <c r="D36" s="12">
        <v>25000</v>
      </c>
      <c r="E36" s="12">
        <v>25000</v>
      </c>
    </row>
    <row r="37" spans="1:5" ht="12.75">
      <c r="A37" s="30" t="s">
        <v>66</v>
      </c>
      <c r="B37" s="12">
        <v>15</v>
      </c>
      <c r="C37" s="12">
        <v>10</v>
      </c>
      <c r="D37" s="12">
        <v>20</v>
      </c>
      <c r="E37" s="12">
        <v>15</v>
      </c>
    </row>
    <row r="38" spans="1:5" ht="12.75">
      <c r="A38" s="30" t="s">
        <v>94</v>
      </c>
      <c r="B38" s="12">
        <v>5000</v>
      </c>
      <c r="C38" s="12">
        <v>5000</v>
      </c>
      <c r="D38" s="12">
        <v>5000</v>
      </c>
      <c r="E38" s="12">
        <v>5000</v>
      </c>
    </row>
  </sheetData>
  <printOptions/>
  <pageMargins left="0.75" right="0.75" top="1" bottom="1" header="0.5" footer="0.5"/>
  <pageSetup fitToHeight="1" fitToWidth="1" horizontalDpi="600" verticalDpi="600" orientation="landscape" paperSize="9" scale="92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A9" sqref="A9"/>
    </sheetView>
  </sheetViews>
  <sheetFormatPr defaultColWidth="9.140625" defaultRowHeight="12.75"/>
  <cols>
    <col min="1" max="1" width="40.57421875" style="0" customWidth="1"/>
    <col min="2" max="6" width="13.8515625" style="0" customWidth="1"/>
  </cols>
  <sheetData>
    <row r="1" spans="1:6" ht="12.75">
      <c r="A1" s="16" t="s">
        <v>12</v>
      </c>
      <c r="B1" s="16">
        <v>2002</v>
      </c>
      <c r="C1" s="16">
        <v>2003</v>
      </c>
      <c r="D1" s="16">
        <v>2004</v>
      </c>
      <c r="E1" s="16">
        <v>2005</v>
      </c>
      <c r="F1" s="16" t="s">
        <v>14</v>
      </c>
    </row>
    <row r="2" spans="1:7" ht="12.75">
      <c r="A2" s="22" t="s">
        <v>42</v>
      </c>
      <c r="B2" s="3">
        <v>30000</v>
      </c>
      <c r="C2" s="3">
        <v>30000</v>
      </c>
      <c r="D2" s="3">
        <v>30000</v>
      </c>
      <c r="E2" s="3">
        <v>30000</v>
      </c>
      <c r="F2" s="3">
        <f aca="true" t="shared" si="0" ref="F2:F7">SUM(B2:E2)</f>
        <v>120000</v>
      </c>
      <c r="G2" s="3"/>
    </row>
    <row r="3" spans="1:7" ht="12.75">
      <c r="A3" s="22" t="s">
        <v>95</v>
      </c>
      <c r="B3" s="3">
        <f>SUM($E$12:$E$15)</f>
        <v>262000</v>
      </c>
      <c r="C3" s="3">
        <f>SUM($E$12:$E$15)</f>
        <v>262000</v>
      </c>
      <c r="D3" s="3">
        <f>SUM($E$12:$E$15)</f>
        <v>262000</v>
      </c>
      <c r="E3" s="3">
        <f>SUM($E$12:$E$15)</f>
        <v>262000</v>
      </c>
      <c r="F3" s="3">
        <f t="shared" si="0"/>
        <v>1048000</v>
      </c>
      <c r="G3" s="3"/>
    </row>
    <row r="4" spans="1:7" ht="12.75">
      <c r="A4" s="22" t="s">
        <v>48</v>
      </c>
      <c r="B4" s="3">
        <v>200000</v>
      </c>
      <c r="C4" s="3">
        <v>200000</v>
      </c>
      <c r="D4" s="3">
        <v>200000</v>
      </c>
      <c r="E4" s="3">
        <v>200000</v>
      </c>
      <c r="F4" s="3">
        <f t="shared" si="0"/>
        <v>800000</v>
      </c>
      <c r="G4" s="3"/>
    </row>
    <row r="5" spans="1:7" ht="12.75">
      <c r="A5" s="22" t="s">
        <v>90</v>
      </c>
      <c r="B5" s="3">
        <v>100000</v>
      </c>
      <c r="C5" s="3">
        <v>100000</v>
      </c>
      <c r="D5" s="3">
        <v>100000</v>
      </c>
      <c r="E5" s="3">
        <v>100000</v>
      </c>
      <c r="F5" s="3">
        <f t="shared" si="0"/>
        <v>400000</v>
      </c>
      <c r="G5" s="3"/>
    </row>
    <row r="6" spans="1:7" ht="12.75">
      <c r="A6" s="22" t="s">
        <v>83</v>
      </c>
      <c r="B6" s="3">
        <v>200000</v>
      </c>
      <c r="C6" s="3">
        <v>200000</v>
      </c>
      <c r="D6" s="3">
        <v>200000</v>
      </c>
      <c r="E6" s="3">
        <v>200000</v>
      </c>
      <c r="F6" s="3">
        <f t="shared" si="0"/>
        <v>800000</v>
      </c>
      <c r="G6" s="3"/>
    </row>
    <row r="7" spans="1:7" ht="12.75">
      <c r="A7" s="20" t="s">
        <v>14</v>
      </c>
      <c r="B7" s="24">
        <f>SUM(B2:B6)</f>
        <v>792000</v>
      </c>
      <c r="C7" s="24">
        <f>SUM(C2:C6)</f>
        <v>792000</v>
      </c>
      <c r="D7" s="24">
        <f>SUM(D2:D6)</f>
        <v>792000</v>
      </c>
      <c r="E7" s="24">
        <f>SUM(E2:E6)</f>
        <v>792000</v>
      </c>
      <c r="F7" s="24">
        <f t="shared" si="0"/>
        <v>3168000</v>
      </c>
      <c r="G7" s="3"/>
    </row>
    <row r="10" ht="12.75">
      <c r="A10" s="17" t="s">
        <v>33</v>
      </c>
    </row>
    <row r="11" spans="1:5" ht="12.75">
      <c r="A11" t="s">
        <v>79</v>
      </c>
      <c r="B11" s="1" t="s">
        <v>76</v>
      </c>
      <c r="C11" s="1" t="s">
        <v>84</v>
      </c>
      <c r="D11" s="1" t="s">
        <v>78</v>
      </c>
      <c r="E11" s="1" t="s">
        <v>14</v>
      </c>
    </row>
    <row r="12" spans="1:5" ht="12.75">
      <c r="A12" s="30" t="s">
        <v>73</v>
      </c>
      <c r="B12">
        <v>3</v>
      </c>
      <c r="C12">
        <v>7</v>
      </c>
      <c r="D12">
        <v>4000</v>
      </c>
      <c r="E12">
        <f>B12*C12*D12</f>
        <v>84000</v>
      </c>
    </row>
    <row r="13" spans="1:5" ht="12.75">
      <c r="A13" s="30" t="s">
        <v>74</v>
      </c>
      <c r="B13">
        <v>4</v>
      </c>
      <c r="C13">
        <v>10</v>
      </c>
      <c r="D13">
        <v>1000</v>
      </c>
      <c r="E13">
        <f>B13*C13*D13</f>
        <v>40000</v>
      </c>
    </row>
    <row r="14" spans="1:5" ht="12.75">
      <c r="A14" s="30" t="s">
        <v>75</v>
      </c>
      <c r="B14">
        <v>4</v>
      </c>
      <c r="C14">
        <v>12</v>
      </c>
      <c r="D14">
        <v>1000</v>
      </c>
      <c r="E14">
        <f>B14*C14*D14</f>
        <v>48000</v>
      </c>
    </row>
    <row r="15" spans="1:5" ht="12.75">
      <c r="A15" s="30" t="s">
        <v>77</v>
      </c>
      <c r="B15">
        <v>3</v>
      </c>
      <c r="C15">
        <v>30</v>
      </c>
      <c r="D15">
        <v>1000</v>
      </c>
      <c r="E15">
        <f>B15*C15*D15</f>
        <v>90000</v>
      </c>
    </row>
    <row r="16" ht="12.75">
      <c r="A16" s="31" t="s">
        <v>89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selection activeCell="C14" sqref="C14"/>
    </sheetView>
  </sheetViews>
  <sheetFormatPr defaultColWidth="9.140625" defaultRowHeight="12.75"/>
  <cols>
    <col min="1" max="1" width="40.7109375" style="0" customWidth="1"/>
    <col min="2" max="7" width="14.421875" style="0" customWidth="1"/>
  </cols>
  <sheetData>
    <row r="1" spans="1:6" s="14" customFormat="1" ht="12.75">
      <c r="A1" s="16" t="s">
        <v>12</v>
      </c>
      <c r="B1" s="16">
        <v>2002</v>
      </c>
      <c r="C1" s="16">
        <v>2003</v>
      </c>
      <c r="D1" s="16">
        <v>2004</v>
      </c>
      <c r="E1" s="16">
        <v>2005</v>
      </c>
      <c r="F1" s="16" t="s">
        <v>14</v>
      </c>
    </row>
    <row r="2" spans="1:6" ht="12.75">
      <c r="A2" s="22" t="s">
        <v>32</v>
      </c>
      <c r="B2" s="3">
        <f>(B14*$F$14)+(B15*$F$15)+(B16*$F$16)</f>
        <v>640500</v>
      </c>
      <c r="C2" s="3">
        <f>(C14*$F$14)+(C15*$F$15)+(C16*$F$16)</f>
        <v>854000</v>
      </c>
      <c r="D2" s="3">
        <f>(D14*$F$14)+(D15*$F$15)+(D16*$F$16)</f>
        <v>854000</v>
      </c>
      <c r="E2" s="3">
        <f>(E14*$F$14)+(E15*$F$15)+(E16*$F$16)</f>
        <v>854000</v>
      </c>
      <c r="F2" s="3">
        <f aca="true" t="shared" si="0" ref="F2:F8">SUM(B2:E2)</f>
        <v>3202500</v>
      </c>
    </row>
    <row r="3" spans="1:6" ht="12.75">
      <c r="A3" s="22" t="s">
        <v>50</v>
      </c>
      <c r="B3" s="15">
        <v>15000</v>
      </c>
      <c r="C3" s="15">
        <v>15000</v>
      </c>
      <c r="D3" s="15">
        <v>15000</v>
      </c>
      <c r="E3" s="15">
        <v>15000</v>
      </c>
      <c r="F3" s="3">
        <f t="shared" si="0"/>
        <v>60000</v>
      </c>
    </row>
    <row r="4" spans="1:6" ht="12.75">
      <c r="A4" s="22" t="s">
        <v>31</v>
      </c>
      <c r="B4" s="3">
        <f>SUM($B$14:$B$15)*365*$B$18*$B$19</f>
        <v>197100</v>
      </c>
      <c r="C4" s="3">
        <f>SUM($B$14:$B$15)*365*$B$18*$B$19</f>
        <v>197100</v>
      </c>
      <c r="D4" s="3">
        <f>SUM($B$14:$B$15)*365*$B$18*$B$19</f>
        <v>197100</v>
      </c>
      <c r="E4" s="3">
        <f>SUM($B$14:$B$15)*365*$B$18*$B$19</f>
        <v>197100</v>
      </c>
      <c r="F4" s="3">
        <f t="shared" si="0"/>
        <v>788400</v>
      </c>
    </row>
    <row r="5" spans="1:6" ht="12.75">
      <c r="A5" s="22" t="s">
        <v>62</v>
      </c>
      <c r="B5" s="3">
        <v>100000</v>
      </c>
      <c r="C5" s="3">
        <v>0</v>
      </c>
      <c r="D5" s="3">
        <v>0</v>
      </c>
      <c r="E5" s="3">
        <v>0</v>
      </c>
      <c r="F5" s="3">
        <f t="shared" si="0"/>
        <v>100000</v>
      </c>
    </row>
    <row r="6" spans="1:6" ht="12.75">
      <c r="A6" s="22" t="s">
        <v>80</v>
      </c>
      <c r="B6" s="15">
        <v>75000</v>
      </c>
      <c r="C6" s="3">
        <v>50000</v>
      </c>
      <c r="D6" s="3">
        <v>50000</v>
      </c>
      <c r="E6" s="3">
        <v>50000</v>
      </c>
      <c r="F6" s="3">
        <f t="shared" si="0"/>
        <v>225000</v>
      </c>
    </row>
    <row r="7" spans="1:6" ht="12.75">
      <c r="A7" s="22" t="s">
        <v>88</v>
      </c>
      <c r="B7" s="15">
        <f>B2*0.05</f>
        <v>32025</v>
      </c>
      <c r="C7" s="15">
        <f>C2*0.05</f>
        <v>42700</v>
      </c>
      <c r="D7" s="15">
        <f>D2*0.05</f>
        <v>42700</v>
      </c>
      <c r="E7" s="15">
        <f>E2*0.05</f>
        <v>42700</v>
      </c>
      <c r="F7" s="3">
        <f t="shared" si="0"/>
        <v>160125</v>
      </c>
    </row>
    <row r="8" spans="1:6" ht="12.75">
      <c r="A8" s="22" t="s">
        <v>91</v>
      </c>
      <c r="B8" s="6">
        <f>SUM(B2:B6)*$B$20</f>
        <v>154140</v>
      </c>
      <c r="C8" s="6">
        <f>SUM(C2:C6)*$B$20</f>
        <v>167415</v>
      </c>
      <c r="D8" s="6">
        <f>SUM(D2:D6)*$B$20</f>
        <v>167415</v>
      </c>
      <c r="E8" s="6">
        <f>SUM(E2:E6)*$B$20</f>
        <v>167415</v>
      </c>
      <c r="F8" s="3">
        <f t="shared" si="0"/>
        <v>656385</v>
      </c>
    </row>
    <row r="9" spans="1:6" ht="12.75">
      <c r="A9" s="21" t="s">
        <v>14</v>
      </c>
      <c r="B9" s="21">
        <f>SUM(B2:B8)</f>
        <v>1213765</v>
      </c>
      <c r="C9" s="21">
        <f>SUM(C2:C8)</f>
        <v>1326215</v>
      </c>
      <c r="D9" s="21">
        <f>SUM(D2:D8)</f>
        <v>1326215</v>
      </c>
      <c r="E9" s="21">
        <f>SUM(E2:E8)</f>
        <v>1326215</v>
      </c>
      <c r="F9" s="21">
        <f>SUM(F2:F8)</f>
        <v>5192410</v>
      </c>
    </row>
    <row r="12" ht="12.75">
      <c r="A12" s="17" t="s">
        <v>33</v>
      </c>
    </row>
    <row r="13" spans="1:6" ht="12.75">
      <c r="A13" t="s">
        <v>34</v>
      </c>
      <c r="B13">
        <v>2002</v>
      </c>
      <c r="C13">
        <v>2003</v>
      </c>
      <c r="D13">
        <v>2004</v>
      </c>
      <c r="E13">
        <v>2005</v>
      </c>
      <c r="F13" t="s">
        <v>25</v>
      </c>
    </row>
    <row r="14" spans="1:6" ht="12.75">
      <c r="A14" s="30" t="s">
        <v>70</v>
      </c>
      <c r="B14">
        <v>3</v>
      </c>
      <c r="C14">
        <v>4</v>
      </c>
      <c r="D14" s="3">
        <v>4</v>
      </c>
      <c r="E14">
        <v>4</v>
      </c>
      <c r="F14" s="3">
        <v>96500</v>
      </c>
    </row>
    <row r="15" spans="1:6" ht="12.75">
      <c r="A15" s="30" t="s">
        <v>71</v>
      </c>
      <c r="B15">
        <v>3</v>
      </c>
      <c r="C15">
        <v>4</v>
      </c>
      <c r="D15" s="3">
        <v>4</v>
      </c>
      <c r="E15">
        <v>4</v>
      </c>
      <c r="F15" s="3">
        <v>77000</v>
      </c>
    </row>
    <row r="16" spans="1:6" ht="12.75">
      <c r="A16" s="30" t="s">
        <v>24</v>
      </c>
      <c r="B16">
        <v>3</v>
      </c>
      <c r="C16">
        <v>4</v>
      </c>
      <c r="D16" s="3">
        <v>4</v>
      </c>
      <c r="E16">
        <v>4</v>
      </c>
      <c r="F16" s="3">
        <v>40000</v>
      </c>
    </row>
    <row r="17" ht="12.75">
      <c r="A17" t="s">
        <v>51</v>
      </c>
    </row>
    <row r="18" spans="1:2" ht="12.75">
      <c r="A18" s="30" t="s">
        <v>49</v>
      </c>
      <c r="B18" s="2">
        <v>0.15</v>
      </c>
    </row>
    <row r="19" spans="1:2" ht="12.75">
      <c r="A19" s="30" t="s">
        <v>81</v>
      </c>
      <c r="B19">
        <v>600</v>
      </c>
    </row>
    <row r="20" spans="1:2" ht="12.75">
      <c r="A20" t="s">
        <v>92</v>
      </c>
      <c r="B20" s="2">
        <v>0.15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9" sqref="M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21">
      <selection activeCell="F40" sqref="F40"/>
    </sheetView>
  </sheetViews>
  <sheetFormatPr defaultColWidth="9.140625" defaultRowHeight="12.75"/>
  <cols>
    <col min="1" max="1" width="30.00390625" style="37" customWidth="1"/>
    <col min="2" max="5" width="14.00390625" style="37" customWidth="1"/>
    <col min="6" max="16384" width="9.140625" style="37" customWidth="1"/>
  </cols>
  <sheetData>
    <row r="1" spans="1:5" s="35" customFormat="1" ht="51">
      <c r="A1" s="35" t="s">
        <v>105</v>
      </c>
      <c r="B1" s="36" t="s">
        <v>106</v>
      </c>
      <c r="C1" s="36" t="s">
        <v>107</v>
      </c>
      <c r="D1" s="36" t="s">
        <v>108</v>
      </c>
      <c r="E1" s="36" t="s">
        <v>109</v>
      </c>
    </row>
    <row r="2" spans="1:5" ht="12.75">
      <c r="A2" s="37" t="s">
        <v>110</v>
      </c>
      <c r="B2" s="37">
        <v>1375382.2972731576</v>
      </c>
      <c r="C2" s="37">
        <v>348436</v>
      </c>
      <c r="D2" s="37">
        <v>114937</v>
      </c>
      <c r="E2" s="37">
        <f aca="true" t="shared" si="0" ref="E2:E38">B2-SUM(C2:D2)</f>
        <v>912009.2972731576</v>
      </c>
    </row>
    <row r="3" spans="1:5" ht="12.75">
      <c r="A3" s="37" t="s">
        <v>111</v>
      </c>
      <c r="B3" s="37">
        <v>1885967.1540224426</v>
      </c>
      <c r="C3" s="37">
        <v>211751</v>
      </c>
      <c r="D3" s="37">
        <v>903967</v>
      </c>
      <c r="E3" s="37">
        <f t="shared" si="0"/>
        <v>770249.1540224426</v>
      </c>
    </row>
    <row r="4" spans="1:5" ht="12.75">
      <c r="A4" s="37" t="s">
        <v>112</v>
      </c>
      <c r="B4" s="37">
        <v>602397.2132290417</v>
      </c>
      <c r="C4" s="37">
        <v>67949</v>
      </c>
      <c r="D4" s="37">
        <v>0</v>
      </c>
      <c r="E4" s="37">
        <f t="shared" si="0"/>
        <v>534448.2132290417</v>
      </c>
    </row>
    <row r="5" spans="1:5" ht="12.75">
      <c r="A5" s="37" t="s">
        <v>113</v>
      </c>
      <c r="B5" s="37">
        <v>356743.4862113914</v>
      </c>
      <c r="C5" s="37">
        <v>25821</v>
      </c>
      <c r="D5" s="37">
        <v>0</v>
      </c>
      <c r="E5" s="37">
        <f t="shared" si="0"/>
        <v>330922.4862113914</v>
      </c>
    </row>
    <row r="6" spans="1:5" ht="12.75">
      <c r="A6" s="37" t="s">
        <v>114</v>
      </c>
      <c r="B6" s="37">
        <v>339330.1276665366</v>
      </c>
      <c r="C6" s="37">
        <v>59669</v>
      </c>
      <c r="D6" s="37">
        <v>15689</v>
      </c>
      <c r="E6" s="37">
        <f t="shared" si="0"/>
        <v>263972.1276665366</v>
      </c>
    </row>
    <row r="7" spans="1:5" ht="12.75">
      <c r="A7" s="37" t="s">
        <v>115</v>
      </c>
      <c r="B7" s="37">
        <v>253008.01289744015</v>
      </c>
      <c r="C7" s="37">
        <v>11050</v>
      </c>
      <c r="D7" s="37">
        <v>0</v>
      </c>
      <c r="E7" s="37">
        <f t="shared" si="0"/>
        <v>241958.01289744015</v>
      </c>
    </row>
    <row r="8" spans="1:5" ht="12.75">
      <c r="A8" s="37" t="s">
        <v>116</v>
      </c>
      <c r="B8" s="37">
        <v>255609.33705797853</v>
      </c>
      <c r="C8" s="37">
        <v>91101</v>
      </c>
      <c r="D8" s="37">
        <v>0</v>
      </c>
      <c r="E8" s="37">
        <f t="shared" si="0"/>
        <v>164508.33705797853</v>
      </c>
    </row>
    <row r="9" spans="1:5" ht="12.75">
      <c r="A9" s="37" t="s">
        <v>117</v>
      </c>
      <c r="B9" s="37">
        <v>254274.84206058795</v>
      </c>
      <c r="C9" s="37">
        <v>96371</v>
      </c>
      <c r="D9" s="37">
        <v>32124</v>
      </c>
      <c r="E9" s="37">
        <f t="shared" si="0"/>
        <v>125779.84206058795</v>
      </c>
    </row>
    <row r="10" spans="1:5" ht="12.75">
      <c r="A10" s="37" t="s">
        <v>118</v>
      </c>
      <c r="B10" s="37">
        <v>154939.5873</v>
      </c>
      <c r="C10" s="37">
        <v>60627</v>
      </c>
      <c r="D10" s="37">
        <v>0</v>
      </c>
      <c r="E10" s="37">
        <f t="shared" si="0"/>
        <v>94312.58730000001</v>
      </c>
    </row>
    <row r="11" spans="1:5" ht="12.75">
      <c r="A11" s="37" t="s">
        <v>119</v>
      </c>
      <c r="B11" s="37">
        <v>151604.8118149968</v>
      </c>
      <c r="C11" s="37">
        <v>58067</v>
      </c>
      <c r="D11" s="37">
        <v>6092</v>
      </c>
      <c r="E11" s="37">
        <f t="shared" si="0"/>
        <v>87445.81181499679</v>
      </c>
    </row>
    <row r="12" spans="1:5" ht="12.75">
      <c r="A12" s="37" t="s">
        <v>120</v>
      </c>
      <c r="B12" s="37">
        <v>129139.6230498242</v>
      </c>
      <c r="C12" s="37">
        <v>54442</v>
      </c>
      <c r="D12" s="37">
        <v>0</v>
      </c>
      <c r="E12" s="37">
        <f t="shared" si="0"/>
        <v>74697.6230498242</v>
      </c>
    </row>
    <row r="13" spans="1:5" ht="12.75">
      <c r="A13" s="37" t="s">
        <v>121</v>
      </c>
      <c r="B13" s="37">
        <v>72125.03750733234</v>
      </c>
      <c r="C13" s="37">
        <v>7107</v>
      </c>
      <c r="D13" s="37">
        <v>0</v>
      </c>
      <c r="E13" s="37">
        <f>B13-SUM(C13:D13)</f>
        <v>65018.03750733234</v>
      </c>
    </row>
    <row r="14" spans="1:5" ht="12.75">
      <c r="A14" s="37" t="s">
        <v>122</v>
      </c>
      <c r="B14" s="37">
        <v>149687.35236411315</v>
      </c>
      <c r="C14" s="37">
        <v>89792</v>
      </c>
      <c r="D14" s="37">
        <v>0</v>
      </c>
      <c r="E14" s="37">
        <f t="shared" si="0"/>
        <v>59895.35236411315</v>
      </c>
    </row>
    <row r="15" spans="1:5" ht="12.75">
      <c r="A15" s="37" t="s">
        <v>123</v>
      </c>
      <c r="B15" s="37">
        <v>80666.88269191401</v>
      </c>
      <c r="C15" s="37">
        <v>21158</v>
      </c>
      <c r="D15" s="37">
        <v>0</v>
      </c>
      <c r="E15" s="37">
        <f t="shared" si="0"/>
        <v>59508.88269191401</v>
      </c>
    </row>
    <row r="16" spans="1:5" ht="12.75">
      <c r="A16" s="37" t="s">
        <v>124</v>
      </c>
      <c r="B16" s="37">
        <v>76844.83890440037</v>
      </c>
      <c r="C16" s="37">
        <v>18891</v>
      </c>
      <c r="D16" s="37">
        <v>0</v>
      </c>
      <c r="E16" s="37">
        <f t="shared" si="0"/>
        <v>57953.83890440037</v>
      </c>
    </row>
    <row r="17" spans="1:5" ht="12.75">
      <c r="A17" s="37" t="s">
        <v>125</v>
      </c>
      <c r="B17" s="37">
        <v>84315.54920894597</v>
      </c>
      <c r="C17" s="37">
        <v>30372</v>
      </c>
      <c r="D17" s="37">
        <v>0</v>
      </c>
      <c r="E17" s="37">
        <f t="shared" si="0"/>
        <v>53943.54920894597</v>
      </c>
    </row>
    <row r="18" spans="1:5" ht="12.75">
      <c r="A18" s="37" t="s">
        <v>126</v>
      </c>
      <c r="B18" s="37">
        <v>191443.89204564603</v>
      </c>
      <c r="C18" s="37">
        <v>8288</v>
      </c>
      <c r="D18" s="37">
        <v>129309</v>
      </c>
      <c r="E18" s="37">
        <f t="shared" si="0"/>
        <v>53846.89204564603</v>
      </c>
    </row>
    <row r="19" spans="1:5" ht="12.75">
      <c r="A19" s="37" t="s">
        <v>127</v>
      </c>
      <c r="B19" s="37">
        <v>63660.04626377555</v>
      </c>
      <c r="C19" s="37">
        <v>12943</v>
      </c>
      <c r="D19" s="37">
        <v>0</v>
      </c>
      <c r="E19" s="37">
        <f t="shared" si="0"/>
        <v>50717.04626377555</v>
      </c>
    </row>
    <row r="20" spans="1:5" ht="12.75">
      <c r="A20" s="37" t="s">
        <v>128</v>
      </c>
      <c r="B20" s="37">
        <v>81244.81622779589</v>
      </c>
      <c r="C20" s="37">
        <v>30840</v>
      </c>
      <c r="D20" s="37">
        <v>0</v>
      </c>
      <c r="E20" s="37">
        <f t="shared" si="0"/>
        <v>50404.81622779589</v>
      </c>
    </row>
    <row r="21" spans="1:5" ht="12.75">
      <c r="A21" s="37" t="s">
        <v>129</v>
      </c>
      <c r="B21" s="37">
        <v>51801.26726903505</v>
      </c>
      <c r="C21" s="37">
        <v>4754</v>
      </c>
      <c r="D21" s="37">
        <v>497</v>
      </c>
      <c r="E21" s="37">
        <f t="shared" si="0"/>
        <v>46550.26726903505</v>
      </c>
    </row>
    <row r="22" spans="1:5" ht="12.75">
      <c r="A22" s="37" t="s">
        <v>130</v>
      </c>
      <c r="B22" s="37">
        <v>56370.316365883446</v>
      </c>
      <c r="C22" s="37">
        <v>10325</v>
      </c>
      <c r="D22" s="37">
        <v>608</v>
      </c>
      <c r="E22" s="37">
        <f t="shared" si="0"/>
        <v>45437.316365883446</v>
      </c>
    </row>
    <row r="23" spans="1:5" ht="12.75">
      <c r="A23" s="37" t="s">
        <v>131</v>
      </c>
      <c r="B23" s="37">
        <v>41830.0672040592</v>
      </c>
      <c r="C23" s="37">
        <v>0</v>
      </c>
      <c r="D23" s="37">
        <v>0</v>
      </c>
      <c r="E23" s="37">
        <f t="shared" si="0"/>
        <v>41830.0672040592</v>
      </c>
    </row>
    <row r="24" spans="1:5" ht="12.75">
      <c r="A24" s="37" t="s">
        <v>132</v>
      </c>
      <c r="B24" s="37">
        <v>61250.43392662204</v>
      </c>
      <c r="C24" s="37">
        <v>16479</v>
      </c>
      <c r="D24" s="37">
        <v>8328</v>
      </c>
      <c r="E24" s="37">
        <f t="shared" si="0"/>
        <v>36443.43392662204</v>
      </c>
    </row>
    <row r="25" spans="1:5" ht="12.75">
      <c r="A25" s="37" t="s">
        <v>133</v>
      </c>
      <c r="B25" s="37">
        <v>38357.17029481322</v>
      </c>
      <c r="C25" s="37">
        <v>2310</v>
      </c>
      <c r="D25" s="37">
        <v>0</v>
      </c>
      <c r="E25" s="37">
        <f t="shared" si="0"/>
        <v>36047.17029481322</v>
      </c>
    </row>
    <row r="26" spans="1:5" ht="12.75">
      <c r="A26" s="37" t="s">
        <v>134</v>
      </c>
      <c r="B26" s="37">
        <v>51715.91013724458</v>
      </c>
      <c r="C26" s="37">
        <v>23606</v>
      </c>
      <c r="D26" s="37">
        <v>0</v>
      </c>
      <c r="E26" s="37">
        <f t="shared" si="0"/>
        <v>28109.91013724458</v>
      </c>
    </row>
    <row r="27" spans="1:5" ht="12.75">
      <c r="A27" s="37" t="s">
        <v>135</v>
      </c>
      <c r="B27" s="37">
        <v>31189.553588923878</v>
      </c>
      <c r="C27" s="37">
        <v>3845</v>
      </c>
      <c r="D27" s="37">
        <v>371</v>
      </c>
      <c r="E27" s="37">
        <f t="shared" si="0"/>
        <v>26973.553588923878</v>
      </c>
    </row>
    <row r="28" spans="1:5" ht="12.75">
      <c r="A28" s="37" t="s">
        <v>136</v>
      </c>
      <c r="B28" s="37">
        <v>32999.52547319159</v>
      </c>
      <c r="C28" s="37">
        <v>5686</v>
      </c>
      <c r="D28" s="37">
        <v>0</v>
      </c>
      <c r="E28" s="37">
        <f t="shared" si="0"/>
        <v>27313.525473191592</v>
      </c>
    </row>
    <row r="29" spans="1:5" ht="12.75">
      <c r="A29" s="37" t="s">
        <v>137</v>
      </c>
      <c r="B29" s="37">
        <v>26411.43353595208</v>
      </c>
      <c r="C29" s="37">
        <v>0</v>
      </c>
      <c r="D29" s="37">
        <v>0</v>
      </c>
      <c r="E29" s="37">
        <f t="shared" si="0"/>
        <v>26411.43353595208</v>
      </c>
    </row>
    <row r="30" spans="1:5" ht="12.75">
      <c r="A30" s="37" t="s">
        <v>138</v>
      </c>
      <c r="B30" s="37">
        <v>32169.780933820588</v>
      </c>
      <c r="C30" s="37">
        <v>6093</v>
      </c>
      <c r="D30" s="37">
        <v>0</v>
      </c>
      <c r="E30" s="37">
        <f t="shared" si="0"/>
        <v>26076.780933820588</v>
      </c>
    </row>
    <row r="31" spans="1:5" ht="12.75">
      <c r="A31" s="37" t="s">
        <v>139</v>
      </c>
      <c r="B31" s="37">
        <v>37791.5782159427</v>
      </c>
      <c r="C31" s="37">
        <v>11828</v>
      </c>
      <c r="D31" s="37">
        <v>22</v>
      </c>
      <c r="E31" s="37">
        <f t="shared" si="0"/>
        <v>25941.578215942704</v>
      </c>
    </row>
    <row r="32" spans="1:5" ht="12.75">
      <c r="A32" s="37" t="s">
        <v>140</v>
      </c>
      <c r="B32" s="37">
        <v>25247.025609430057</v>
      </c>
      <c r="C32" s="37">
        <v>0</v>
      </c>
      <c r="D32" s="37">
        <v>0</v>
      </c>
      <c r="E32" s="37">
        <f t="shared" si="0"/>
        <v>25247.025609430057</v>
      </c>
    </row>
    <row r="33" spans="1:5" ht="12.75">
      <c r="A33" s="37" t="s">
        <v>141</v>
      </c>
      <c r="B33" s="37">
        <v>28711.98429670192</v>
      </c>
      <c r="C33" s="37">
        <v>4292</v>
      </c>
      <c r="D33" s="37">
        <v>0</v>
      </c>
      <c r="E33" s="37">
        <f t="shared" si="0"/>
        <v>24419.98429670192</v>
      </c>
    </row>
    <row r="34" spans="1:5" ht="12.75">
      <c r="A34" s="37" t="s">
        <v>142</v>
      </c>
      <c r="B34" s="37">
        <v>75012.10203689692</v>
      </c>
      <c r="C34" s="37">
        <v>51918</v>
      </c>
      <c r="D34" s="37">
        <v>0</v>
      </c>
      <c r="E34" s="37">
        <f t="shared" si="0"/>
        <v>23094.10203689692</v>
      </c>
    </row>
    <row r="35" spans="1:5" ht="12.75">
      <c r="A35" s="37" t="s">
        <v>143</v>
      </c>
      <c r="B35" s="37">
        <v>22368.92561720341</v>
      </c>
      <c r="C35" s="37">
        <v>0</v>
      </c>
      <c r="D35" s="37">
        <v>0</v>
      </c>
      <c r="E35" s="37">
        <f t="shared" si="0"/>
        <v>22368.92561720341</v>
      </c>
    </row>
    <row r="36" spans="1:5" ht="12.75">
      <c r="A36" s="37" t="s">
        <v>144</v>
      </c>
      <c r="B36" s="37">
        <v>22253.10603442186</v>
      </c>
      <c r="C36" s="37">
        <v>0</v>
      </c>
      <c r="D36" s="37">
        <v>0</v>
      </c>
      <c r="E36" s="37">
        <f t="shared" si="0"/>
        <v>22253.10603442186</v>
      </c>
    </row>
    <row r="37" spans="1:5" ht="12.75">
      <c r="A37" s="37" t="s">
        <v>145</v>
      </c>
      <c r="B37" s="37">
        <v>31050.621724621673</v>
      </c>
      <c r="C37" s="37">
        <v>9697</v>
      </c>
      <c r="D37" s="37">
        <v>0</v>
      </c>
      <c r="E37" s="37">
        <f t="shared" si="0"/>
        <v>21353.621724621673</v>
      </c>
    </row>
    <row r="38" spans="1:5" ht="12.75">
      <c r="A38" s="37" t="s">
        <v>146</v>
      </c>
      <c r="B38" s="37">
        <v>37163.12622888022</v>
      </c>
      <c r="C38" s="37">
        <v>0</v>
      </c>
      <c r="D38" s="37">
        <v>16062</v>
      </c>
      <c r="E38" s="37">
        <f t="shared" si="0"/>
        <v>21101.126228880217</v>
      </c>
    </row>
    <row r="39" spans="1:6" ht="12.75">
      <c r="A39" s="38" t="s">
        <v>14</v>
      </c>
      <c r="B39" s="38">
        <f>SUM(B2:B38)</f>
        <v>7262078.836290965</v>
      </c>
      <c r="C39" s="38">
        <f>SUM(C2:C38)</f>
        <v>1455508</v>
      </c>
      <c r="D39" s="38">
        <f>SUM(D2:D38)</f>
        <v>1228006</v>
      </c>
      <c r="E39" s="38">
        <f>SUM(E2:E38)</f>
        <v>4578564.836290964</v>
      </c>
      <c r="F39" s="39"/>
    </row>
    <row r="40" spans="1:6" ht="12.75">
      <c r="A40" s="38" t="s">
        <v>147</v>
      </c>
      <c r="B40" s="38">
        <v>8810818.246359697</v>
      </c>
      <c r="C40" s="38">
        <v>2023833</v>
      </c>
      <c r="D40" s="38">
        <v>1630164</v>
      </c>
      <c r="E40" s="38">
        <v>5136793.246359695</v>
      </c>
      <c r="F40" s="40">
        <f>E39/E40</f>
        <v>0.8913274521094786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Health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Synergy</dc:creator>
  <cp:keywords/>
  <dc:description/>
  <cp:lastModifiedBy>Roy Sulo</cp:lastModifiedBy>
  <cp:lastPrinted>2002-02-05T06:20:49Z</cp:lastPrinted>
  <dcterms:created xsi:type="dcterms:W3CDTF">1999-06-24T13:18:07Z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